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ugenioPacelliMirand\Desktop\Notebook Eugênio\Aracaju\Modelo de Relatório Semestral de Monitoramento\Anexos Digitais\"/>
    </mc:Choice>
  </mc:AlternateContent>
  <xr:revisionPtr revIDLastSave="0" documentId="13_ncr:1_{690B257B-D7E1-4F99-95D0-31FAB37E8A5C}" xr6:coauthVersionLast="46" xr6:coauthVersionMax="46" xr10:uidLastSave="{00000000-0000-0000-0000-000000000000}"/>
  <bookViews>
    <workbookView xWindow="-120" yWindow="-120" windowWidth="20730" windowHeight="11160" tabRatio="743" xr2:uid="{00000000-000D-0000-FFFF-FFFF00000000}"/>
  </bookViews>
  <sheets>
    <sheet name="POA" sheetId="18" r:id="rId1"/>
    <sheet name="PEP" sheetId="5" state="hidden" r:id="rId2"/>
    <sheet name="POA Real Fechada" sheetId="16" state="hidden" r:id="rId3"/>
    <sheet name="Simulação Real Aberta" sheetId="15" state="hidden" r:id="rId4"/>
    <sheet name="Desembolsos" sheetId="11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PEP!$A$2:$AC$2</definedName>
    <definedName name="_ftn1" localSheetId="1">PEP!#REF!</definedName>
    <definedName name="_ftnref1" localSheetId="1">PEP!#REF!</definedName>
    <definedName name="_xlnm.Print_Area" localSheetId="1">PEP!$A$1:$AF$118</definedName>
    <definedName name="FPstatus">'[1]Financial plan (Disbursements)'!$AX$7:$AX$8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8" l="1"/>
  <c r="H70" i="18"/>
  <c r="F70" i="18"/>
  <c r="R97" i="5" l="1"/>
  <c r="S90" i="5" l="1"/>
  <c r="X94" i="5"/>
  <c r="X93" i="5"/>
  <c r="X92" i="5"/>
  <c r="S94" i="5"/>
  <c r="S93" i="5"/>
  <c r="S92" i="5"/>
  <c r="S85" i="5"/>
  <c r="S84" i="5" s="1"/>
  <c r="Q75" i="5"/>
  <c r="Q55" i="5"/>
  <c r="Q56" i="5"/>
  <c r="Q36" i="5"/>
  <c r="Q35" i="5"/>
  <c r="X74" i="5"/>
  <c r="X73" i="5"/>
  <c r="S74" i="5"/>
  <c r="S73" i="5"/>
  <c r="S72" i="5"/>
  <c r="S69" i="5"/>
  <c r="S66" i="5"/>
  <c r="S54" i="5"/>
  <c r="S53" i="5"/>
  <c r="S52" i="5"/>
  <c r="S33" i="5"/>
  <c r="S32" i="5"/>
  <c r="S31" i="5"/>
  <c r="S71" i="5"/>
  <c r="S51" i="5"/>
  <c r="S30" i="5"/>
  <c r="S49" i="5"/>
  <c r="S24" i="5"/>
  <c r="S68" i="5"/>
  <c r="S48" i="5"/>
  <c r="S23" i="5"/>
  <c r="S67" i="5"/>
  <c r="S47" i="5"/>
  <c r="S22" i="5"/>
  <c r="S65" i="5"/>
  <c r="S45" i="5"/>
  <c r="S20" i="5"/>
  <c r="S70" i="5" l="1"/>
  <c r="S50" i="5"/>
  <c r="S29" i="5"/>
  <c r="S28" i="5"/>
  <c r="S27" i="5"/>
  <c r="S25" i="5" l="1"/>
  <c r="Q25" i="5" s="1"/>
  <c r="S21" i="5"/>
  <c r="S19" i="5"/>
  <c r="S16" i="5"/>
  <c r="Q16" i="5" s="1"/>
  <c r="S62" i="5"/>
  <c r="S42" i="5"/>
  <c r="S15" i="5"/>
  <c r="S7" i="5"/>
  <c r="S6" i="5"/>
  <c r="S34" i="5"/>
  <c r="S26" i="5"/>
  <c r="S64" i="5"/>
  <c r="S63" i="5" s="1"/>
  <c r="S44" i="5"/>
  <c r="S18" i="5"/>
  <c r="S61" i="5"/>
  <c r="S41" i="5"/>
  <c r="S14" i="5"/>
  <c r="S17" i="5" l="1"/>
  <c r="S60" i="5"/>
  <c r="S40" i="5"/>
  <c r="S13" i="5"/>
  <c r="S59" i="5"/>
  <c r="S39" i="5"/>
  <c r="S12" i="5"/>
  <c r="S11" i="5" l="1"/>
  <c r="Q34" i="5" l="1"/>
  <c r="R4" i="5"/>
  <c r="Q7" i="5"/>
  <c r="R63" i="5"/>
  <c r="R58" i="5"/>
  <c r="R43" i="5"/>
  <c r="R38" i="5"/>
  <c r="Q74" i="5"/>
  <c r="Q54" i="5"/>
  <c r="Q33" i="5"/>
  <c r="Q62" i="5"/>
  <c r="Q42" i="5"/>
  <c r="Q15" i="5"/>
  <c r="Q73" i="5"/>
  <c r="Q53" i="5"/>
  <c r="Q32" i="5"/>
  <c r="Q72" i="5"/>
  <c r="Q52" i="5"/>
  <c r="Q31" i="5"/>
  <c r="Q30" i="5"/>
  <c r="Q71" i="5"/>
  <c r="R76" i="5"/>
  <c r="S76" i="5"/>
  <c r="Q51" i="5"/>
  <c r="Q29" i="5"/>
  <c r="Q50" i="5"/>
  <c r="Q70" i="5"/>
  <c r="Q69" i="5"/>
  <c r="Q49" i="5"/>
  <c r="Q66" i="5"/>
  <c r="S46" i="5"/>
  <c r="Q21" i="5"/>
  <c r="Q26" i="5"/>
  <c r="Q27" i="5"/>
  <c r="Q60" i="5"/>
  <c r="Q40" i="5"/>
  <c r="Q13" i="5"/>
  <c r="Q59" i="5"/>
  <c r="Q39" i="5"/>
  <c r="Q12" i="5"/>
  <c r="Q28" i="5"/>
  <c r="Q19" i="5"/>
  <c r="Q24" i="5"/>
  <c r="Q48" i="5"/>
  <c r="Q68" i="5"/>
  <c r="Q23" i="5"/>
  <c r="Q22" i="5"/>
  <c r="Q20" i="5"/>
  <c r="R91" i="5"/>
  <c r="Q94" i="5"/>
  <c r="Q93" i="5"/>
  <c r="Q92" i="5"/>
  <c r="Q90" i="5"/>
  <c r="R84" i="5"/>
  <c r="Q84" i="5" s="1"/>
  <c r="Q86" i="5"/>
  <c r="R17" i="5"/>
  <c r="R10" i="5"/>
  <c r="R78" i="5"/>
  <c r="S78" i="5"/>
  <c r="R81" i="5"/>
  <c r="S81" i="5"/>
  <c r="R88" i="5"/>
  <c r="Q8" i="5"/>
  <c r="Q67" i="5"/>
  <c r="Q65" i="5"/>
  <c r="Q64" i="5"/>
  <c r="Q61" i="5"/>
  <c r="Q47" i="5"/>
  <c r="Q45" i="5"/>
  <c r="Q44" i="5"/>
  <c r="Q41" i="5"/>
  <c r="S103" i="5"/>
  <c r="Q14" i="5"/>
  <c r="Q108" i="5"/>
  <c r="Q109" i="5"/>
  <c r="Q110" i="5"/>
  <c r="Q111" i="5"/>
  <c r="Q112" i="5"/>
  <c r="Q113" i="5"/>
  <c r="Q114" i="5"/>
  <c r="Q107" i="5"/>
  <c r="Q63" i="5" l="1"/>
  <c r="Q91" i="5"/>
  <c r="Q46" i="5"/>
  <c r="Q43" i="5" s="1"/>
  <c r="S43" i="5"/>
  <c r="S4" i="5"/>
  <c r="Q58" i="5"/>
  <c r="S58" i="5"/>
  <c r="Q38" i="5"/>
  <c r="S38" i="5"/>
  <c r="R57" i="5"/>
  <c r="S88" i="5"/>
  <c r="S10" i="5"/>
  <c r="Q11" i="5"/>
  <c r="Q10" i="5" s="1"/>
  <c r="S91" i="5"/>
  <c r="R37" i="5"/>
  <c r="Q18" i="5"/>
  <c r="Q17" i="5" s="1"/>
  <c r="R9" i="5"/>
  <c r="Q106" i="5"/>
  <c r="Q89" i="5"/>
  <c r="Q88" i="5" s="1"/>
  <c r="Q87" i="5"/>
  <c r="Q85" i="5"/>
  <c r="Q83" i="5"/>
  <c r="Q82" i="5"/>
  <c r="Q79" i="5"/>
  <c r="Q80" i="5"/>
  <c r="Q77" i="5"/>
  <c r="Q76" i="5" s="1"/>
  <c r="Q57" i="5" l="1"/>
  <c r="S57" i="5"/>
  <c r="S9" i="5"/>
  <c r="Q9" i="5"/>
  <c r="Q81" i="5"/>
  <c r="Q78" i="5"/>
  <c r="S37" i="5"/>
  <c r="Q37" i="5"/>
  <c r="Q6" i="5"/>
  <c r="Q5" i="5"/>
  <c r="R3" i="5"/>
  <c r="Q98" i="5"/>
  <c r="Q100" i="5"/>
  <c r="Q101" i="5"/>
  <c r="Q102" i="5"/>
  <c r="Q96" i="5"/>
  <c r="S95" i="5"/>
  <c r="Q97" i="5"/>
  <c r="R99" i="5"/>
  <c r="Q99" i="5" s="1"/>
  <c r="S106" i="5"/>
  <c r="R106" i="5"/>
  <c r="Q105" i="5"/>
  <c r="R104" i="5"/>
  <c r="R103" i="5" s="1"/>
  <c r="R117" i="5"/>
  <c r="Q117" i="5" s="1"/>
  <c r="Q116" i="5"/>
  <c r="S115" i="5"/>
  <c r="Q4" i="5" l="1"/>
  <c r="Q3" i="5" s="1"/>
  <c r="S3" i="5"/>
  <c r="S118" i="5" s="1"/>
  <c r="R95" i="5"/>
  <c r="Q95" i="5"/>
  <c r="Q104" i="5"/>
  <c r="Q103" i="5" s="1"/>
  <c r="R115" i="5"/>
  <c r="Q115" i="5" s="1"/>
  <c r="R120" i="5" s="1"/>
  <c r="Q118" i="5" l="1"/>
  <c r="R118" i="5"/>
  <c r="D68" i="18"/>
  <c r="C68" i="18"/>
  <c r="B68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D67" i="18"/>
  <c r="C67" i="18"/>
  <c r="B67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D66" i="18"/>
  <c r="C66" i="18"/>
  <c r="B66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D65" i="18"/>
  <c r="C65" i="18"/>
  <c r="B65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D64" i="18"/>
  <c r="C64" i="18"/>
  <c r="B64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D63" i="18"/>
  <c r="C63" i="18"/>
  <c r="B63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D62" i="18"/>
  <c r="C62" i="18"/>
  <c r="B62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D61" i="18"/>
  <c r="C61" i="18"/>
  <c r="B61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D60" i="18"/>
  <c r="C60" i="18"/>
  <c r="B60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D59" i="18"/>
  <c r="C59" i="18"/>
  <c r="B59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D58" i="18"/>
  <c r="C58" i="18"/>
  <c r="B58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D57" i="18"/>
  <c r="C57" i="18"/>
  <c r="B57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D56" i="18"/>
  <c r="C56" i="18"/>
  <c r="B56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D55" i="18"/>
  <c r="C55" i="18"/>
  <c r="B55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D54" i="18"/>
  <c r="C54" i="18"/>
  <c r="B54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D53" i="18"/>
  <c r="C53" i="18"/>
  <c r="B53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D52" i="18"/>
  <c r="C52" i="18"/>
  <c r="B52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D51" i="18"/>
  <c r="C51" i="18"/>
  <c r="B51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D50" i="18"/>
  <c r="C50" i="18"/>
  <c r="B50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D49" i="18"/>
  <c r="C49" i="18"/>
  <c r="B49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D48" i="18"/>
  <c r="C48" i="18"/>
  <c r="B48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D47" i="18"/>
  <c r="C47" i="18"/>
  <c r="B47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D46" i="18"/>
  <c r="C46" i="18"/>
  <c r="B46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D45" i="18"/>
  <c r="C45" i="18"/>
  <c r="B45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D44" i="18"/>
  <c r="C44" i="18"/>
  <c r="B44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D43" i="18"/>
  <c r="C43" i="18"/>
  <c r="B43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D42" i="18"/>
  <c r="C42" i="18"/>
  <c r="B42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D41" i="18"/>
  <c r="C41" i="18"/>
  <c r="B41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D40" i="18"/>
  <c r="C40" i="18"/>
  <c r="B40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D39" i="18"/>
  <c r="C39" i="18"/>
  <c r="B39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D38" i="18"/>
  <c r="C38" i="18"/>
  <c r="B38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D37" i="18"/>
  <c r="C37" i="18"/>
  <c r="B37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D36" i="18"/>
  <c r="C36" i="18"/>
  <c r="B36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D35" i="18"/>
  <c r="C35" i="18"/>
  <c r="B35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D34" i="18"/>
  <c r="C34" i="18"/>
  <c r="B34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D33" i="18"/>
  <c r="C33" i="18"/>
  <c r="B33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D32" i="18"/>
  <c r="C32" i="18"/>
  <c r="B32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D31" i="18"/>
  <c r="C31" i="18"/>
  <c r="B31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D30" i="18"/>
  <c r="C30" i="18"/>
  <c r="B30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D29" i="18"/>
  <c r="C29" i="18"/>
  <c r="B29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D28" i="18"/>
  <c r="C28" i="18"/>
  <c r="B28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D27" i="18"/>
  <c r="C27" i="18"/>
  <c r="B27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D26" i="18"/>
  <c r="C26" i="18"/>
  <c r="B26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D25" i="18"/>
  <c r="C25" i="18"/>
  <c r="B25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D24" i="18"/>
  <c r="C24" i="18"/>
  <c r="B24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D23" i="18"/>
  <c r="C23" i="18"/>
  <c r="B23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D22" i="18"/>
  <c r="C22" i="18"/>
  <c r="B22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D21" i="18"/>
  <c r="C21" i="18"/>
  <c r="B21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D20" i="18"/>
  <c r="C20" i="18"/>
  <c r="B20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D19" i="18"/>
  <c r="C19" i="18"/>
  <c r="B19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D18" i="18"/>
  <c r="C18" i="18"/>
  <c r="B18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D17" i="18"/>
  <c r="C17" i="18"/>
  <c r="B17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D16" i="18"/>
  <c r="C16" i="18"/>
  <c r="B16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D15" i="18"/>
  <c r="C15" i="18"/>
  <c r="B15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D14" i="18"/>
  <c r="C14" i="18"/>
  <c r="B14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D13" i="18"/>
  <c r="C13" i="18"/>
  <c r="B13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D12" i="18"/>
  <c r="C12" i="18"/>
  <c r="B12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D11" i="18"/>
  <c r="C11" i="18"/>
  <c r="B11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D10" i="18"/>
  <c r="C10" i="18"/>
  <c r="B10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D9" i="18"/>
  <c r="C9" i="18"/>
  <c r="B9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D8" i="18"/>
  <c r="C8" i="18"/>
  <c r="B8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D7" i="18"/>
  <c r="C7" i="18"/>
  <c r="B7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D6" i="18"/>
  <c r="C6" i="18"/>
  <c r="B6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D5" i="18"/>
  <c r="C5" i="18"/>
  <c r="B5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D4" i="18"/>
  <c r="C4" i="18"/>
  <c r="B4" i="18"/>
  <c r="F2" i="18"/>
  <c r="D73" i="16"/>
  <c r="BF72" i="16"/>
  <c r="BE72" i="16"/>
  <c r="BD72" i="16"/>
  <c r="BC72" i="16"/>
  <c r="BB72" i="16"/>
  <c r="BA72" i="16"/>
  <c r="AZ72" i="16"/>
  <c r="AY72" i="16"/>
  <c r="AX72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K72" i="16"/>
  <c r="AJ72" i="16"/>
  <c r="AI72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BF71" i="16"/>
  <c r="BE71" i="16"/>
  <c r="BD71" i="16"/>
  <c r="BC71" i="16"/>
  <c r="BB71" i="16"/>
  <c r="BA71" i="16"/>
  <c r="AZ71" i="16"/>
  <c r="AY71" i="16"/>
  <c r="AX71" i="16"/>
  <c r="AW71" i="16"/>
  <c r="AV71" i="16"/>
  <c r="AU71" i="16"/>
  <c r="AT71" i="16"/>
  <c r="AS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D71" i="16"/>
  <c r="BF70" i="16"/>
  <c r="BE70" i="16"/>
  <c r="BD70" i="16"/>
  <c r="BC70" i="16"/>
  <c r="BB70" i="16"/>
  <c r="BA70" i="16"/>
  <c r="AZ70" i="16"/>
  <c r="AY70" i="16"/>
  <c r="AX70" i="16"/>
  <c r="AW70" i="16"/>
  <c r="AV70" i="16"/>
  <c r="AU70" i="16"/>
  <c r="AT70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D70" i="16"/>
  <c r="BF69" i="16"/>
  <c r="BE69" i="16"/>
  <c r="BD69" i="16"/>
  <c r="BC69" i="16"/>
  <c r="BB69" i="16"/>
  <c r="BA69" i="16"/>
  <c r="AZ69" i="16"/>
  <c r="AY69" i="16"/>
  <c r="AX69" i="16"/>
  <c r="AW69" i="16"/>
  <c r="AV69" i="16"/>
  <c r="AU69" i="16"/>
  <c r="AT69" i="16"/>
  <c r="AS69" i="16"/>
  <c r="AR69" i="16"/>
  <c r="AQ69" i="16"/>
  <c r="AP69" i="16"/>
  <c r="AO69" i="16"/>
  <c r="AN69" i="16"/>
  <c r="AM69" i="16"/>
  <c r="AL69" i="16"/>
  <c r="AK69" i="16"/>
  <c r="AJ69" i="16"/>
  <c r="AI69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BF68" i="16"/>
  <c r="BE68" i="16"/>
  <c r="BD68" i="16"/>
  <c r="BC68" i="16"/>
  <c r="BB68" i="16"/>
  <c r="BA68" i="16"/>
  <c r="AZ68" i="16"/>
  <c r="AY68" i="16"/>
  <c r="AX68" i="16"/>
  <c r="AW68" i="16"/>
  <c r="AV68" i="16"/>
  <c r="AU68" i="16"/>
  <c r="AT68" i="16"/>
  <c r="AS68" i="16"/>
  <c r="AR68" i="16"/>
  <c r="AQ68" i="16"/>
  <c r="AP68" i="16"/>
  <c r="AO68" i="16"/>
  <c r="AN68" i="16"/>
  <c r="AM68" i="16"/>
  <c r="AL68" i="16"/>
  <c r="AK68" i="16"/>
  <c r="AJ68" i="16"/>
  <c r="AI68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D68" i="16"/>
  <c r="BF67" i="16"/>
  <c r="BE67" i="16"/>
  <c r="BD67" i="16"/>
  <c r="BC67" i="16"/>
  <c r="BB67" i="16"/>
  <c r="BA67" i="16"/>
  <c r="AZ67" i="16"/>
  <c r="AY67" i="16"/>
  <c r="AX67" i="16"/>
  <c r="AW67" i="16"/>
  <c r="AV67" i="16"/>
  <c r="AU67" i="16"/>
  <c r="AT67" i="16"/>
  <c r="AS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D67" i="16"/>
  <c r="BF66" i="16"/>
  <c r="BE66" i="16"/>
  <c r="BD66" i="16"/>
  <c r="BC66" i="16"/>
  <c r="BB66" i="16"/>
  <c r="BA66" i="16"/>
  <c r="AZ66" i="16"/>
  <c r="AY66" i="16"/>
  <c r="AX66" i="16"/>
  <c r="AW66" i="16"/>
  <c r="AV66" i="16"/>
  <c r="AU66" i="16"/>
  <c r="AT66" i="16"/>
  <c r="AS66" i="16"/>
  <c r="AR66" i="16"/>
  <c r="AQ66" i="16"/>
  <c r="AP66" i="16"/>
  <c r="AO66" i="16"/>
  <c r="AN66" i="16"/>
  <c r="AM66" i="16"/>
  <c r="AL66" i="16"/>
  <c r="AK66" i="16"/>
  <c r="AJ66" i="16"/>
  <c r="AI66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D66" i="16"/>
  <c r="BF65" i="16"/>
  <c r="BE65" i="16"/>
  <c r="BD65" i="16"/>
  <c r="BC65" i="16"/>
  <c r="BB65" i="16"/>
  <c r="BA65" i="16"/>
  <c r="AZ65" i="16"/>
  <c r="AY65" i="16"/>
  <c r="AX65" i="16"/>
  <c r="AW65" i="16"/>
  <c r="AV65" i="16"/>
  <c r="AU65" i="16"/>
  <c r="AT65" i="16"/>
  <c r="AS65" i="16"/>
  <c r="AR65" i="16"/>
  <c r="AQ65" i="16"/>
  <c r="AP65" i="16"/>
  <c r="AO65" i="16"/>
  <c r="AN65" i="16"/>
  <c r="AM65" i="16"/>
  <c r="AL65" i="16"/>
  <c r="AK65" i="16"/>
  <c r="AJ65" i="16"/>
  <c r="AI65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D65" i="16"/>
  <c r="BF64" i="16"/>
  <c r="BE64" i="16"/>
  <c r="BD64" i="16"/>
  <c r="BC64" i="16"/>
  <c r="BB64" i="16"/>
  <c r="BA64" i="16"/>
  <c r="AZ64" i="16"/>
  <c r="AY64" i="16"/>
  <c r="AX64" i="16"/>
  <c r="AW64" i="16"/>
  <c r="AV64" i="16"/>
  <c r="AU64" i="16"/>
  <c r="AT64" i="16"/>
  <c r="AS64" i="16"/>
  <c r="AR64" i="16"/>
  <c r="AQ64" i="16"/>
  <c r="AP64" i="16"/>
  <c r="AO64" i="16"/>
  <c r="AN64" i="16"/>
  <c r="AM64" i="16"/>
  <c r="AL64" i="16"/>
  <c r="AK64" i="16"/>
  <c r="AJ64" i="16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D64" i="16"/>
  <c r="BF63" i="16"/>
  <c r="BE63" i="16"/>
  <c r="BD63" i="16"/>
  <c r="BC63" i="16"/>
  <c r="BB63" i="16"/>
  <c r="BA63" i="16"/>
  <c r="AZ63" i="16"/>
  <c r="AY63" i="16"/>
  <c r="AX63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D63" i="16"/>
  <c r="BF62" i="16"/>
  <c r="BE62" i="16"/>
  <c r="BD62" i="16"/>
  <c r="BC62" i="16"/>
  <c r="BB62" i="16"/>
  <c r="BA62" i="16"/>
  <c r="AZ62" i="16"/>
  <c r="AY62" i="16"/>
  <c r="AX62" i="16"/>
  <c r="AW62" i="16"/>
  <c r="AV62" i="16"/>
  <c r="AU62" i="16"/>
  <c r="AT62" i="16"/>
  <c r="AS62" i="16"/>
  <c r="AR62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D62" i="16"/>
  <c r="BF61" i="16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S61" i="16"/>
  <c r="AR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D61" i="16"/>
  <c r="BF60" i="16"/>
  <c r="BE60" i="16"/>
  <c r="BD60" i="16"/>
  <c r="BC60" i="16"/>
  <c r="BB60" i="16"/>
  <c r="BA60" i="16"/>
  <c r="AZ60" i="16"/>
  <c r="AY60" i="16"/>
  <c r="AX60" i="16"/>
  <c r="AW60" i="16"/>
  <c r="AV60" i="16"/>
  <c r="AU60" i="16"/>
  <c r="AT60" i="16"/>
  <c r="AS60" i="16"/>
  <c r="AR60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C60" i="16"/>
  <c r="C53" i="16" s="1"/>
  <c r="B60" i="16"/>
  <c r="BF59" i="16"/>
  <c r="BE59" i="16"/>
  <c r="BD59" i="16"/>
  <c r="BC59" i="16"/>
  <c r="BB59" i="16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D59" i="16"/>
  <c r="BF58" i="16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AS58" i="16"/>
  <c r="AR58" i="16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D58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D57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D56" i="16"/>
  <c r="BF55" i="16"/>
  <c r="BE55" i="16"/>
  <c r="BD55" i="16"/>
  <c r="BC55" i="16"/>
  <c r="BB55" i="16"/>
  <c r="BA55" i="16"/>
  <c r="AZ55" i="16"/>
  <c r="AY55" i="16"/>
  <c r="AX55" i="16"/>
  <c r="AW55" i="16"/>
  <c r="AV55" i="16"/>
  <c r="AU55" i="16"/>
  <c r="AT55" i="16"/>
  <c r="AS55" i="16"/>
  <c r="AR55" i="16"/>
  <c r="AQ55" i="16"/>
  <c r="AP55" i="16"/>
  <c r="AO55" i="16"/>
  <c r="AN55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D55" i="16"/>
  <c r="BF54" i="16"/>
  <c r="BE54" i="16"/>
  <c r="BD54" i="16"/>
  <c r="BC54" i="16"/>
  <c r="BB54" i="16"/>
  <c r="BA54" i="16"/>
  <c r="AZ54" i="16"/>
  <c r="AY54" i="16"/>
  <c r="AX54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B54" i="16"/>
  <c r="D54" i="16" s="1"/>
  <c r="BF53" i="16"/>
  <c r="BE53" i="16"/>
  <c r="BD53" i="16"/>
  <c r="BC53" i="16"/>
  <c r="BB53" i="16"/>
  <c r="BA53" i="16"/>
  <c r="AZ53" i="16"/>
  <c r="AY53" i="16"/>
  <c r="AX53" i="16"/>
  <c r="AW53" i="16"/>
  <c r="AV53" i="16"/>
  <c r="AU53" i="16"/>
  <c r="AT53" i="16"/>
  <c r="AS53" i="16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BF52" i="16"/>
  <c r="BE52" i="16"/>
  <c r="BD52" i="16"/>
  <c r="BC52" i="16"/>
  <c r="BB52" i="16"/>
  <c r="BA52" i="16"/>
  <c r="AZ52" i="16"/>
  <c r="AY52" i="16"/>
  <c r="AX52" i="16"/>
  <c r="AW52" i="16"/>
  <c r="AV52" i="16"/>
  <c r="AU52" i="16"/>
  <c r="AT52" i="16"/>
  <c r="AS52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D52" i="16"/>
  <c r="BF51" i="16"/>
  <c r="BE51" i="16"/>
  <c r="BD51" i="16"/>
  <c r="BC51" i="16"/>
  <c r="BB51" i="16"/>
  <c r="BA51" i="16"/>
  <c r="AZ51" i="16"/>
  <c r="AY51" i="16"/>
  <c r="AX51" i="16"/>
  <c r="AW51" i="16"/>
  <c r="AV51" i="16"/>
  <c r="AU51" i="16"/>
  <c r="AT51" i="16"/>
  <c r="AS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D51" i="16"/>
  <c r="BF50" i="16"/>
  <c r="BE50" i="16"/>
  <c r="BD50" i="16"/>
  <c r="BC50" i="16"/>
  <c r="BB50" i="16"/>
  <c r="BA50" i="16"/>
  <c r="AZ50" i="16"/>
  <c r="AY50" i="16"/>
  <c r="AX50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D50" i="16"/>
  <c r="BF49" i="16"/>
  <c r="BE49" i="16"/>
  <c r="BD49" i="16"/>
  <c r="BC49" i="16"/>
  <c r="BB49" i="16"/>
  <c r="BA49" i="16"/>
  <c r="AZ49" i="16"/>
  <c r="AY49" i="16"/>
  <c r="AX49" i="16"/>
  <c r="AW49" i="16"/>
  <c r="AV49" i="16"/>
  <c r="AU49" i="16"/>
  <c r="AT49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D49" i="16"/>
  <c r="BF48" i="16"/>
  <c r="BE48" i="16"/>
  <c r="BD48" i="16"/>
  <c r="BC48" i="16"/>
  <c r="BB48" i="16"/>
  <c r="BA48" i="16"/>
  <c r="AZ48" i="16"/>
  <c r="AY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D48" i="16"/>
  <c r="BF47" i="16"/>
  <c r="BE47" i="16"/>
  <c r="BD47" i="16"/>
  <c r="BC47" i="16"/>
  <c r="BB47" i="16"/>
  <c r="BA47" i="16"/>
  <c r="AZ47" i="16"/>
  <c r="AY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C47" i="16"/>
  <c r="B47" i="16"/>
  <c r="BF46" i="16"/>
  <c r="BE46" i="16"/>
  <c r="BD46" i="16"/>
  <c r="BC46" i="16"/>
  <c r="BB46" i="16"/>
  <c r="BA46" i="16"/>
  <c r="AZ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D46" i="16"/>
  <c r="BF4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D45" i="16"/>
  <c r="BF44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D44" i="16"/>
  <c r="BF43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AS43" i="16"/>
  <c r="AR43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D43" i="16"/>
  <c r="BF42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D42" i="16"/>
  <c r="BF41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D41" i="16"/>
  <c r="BF40" i="16"/>
  <c r="BF39" i="16" s="1"/>
  <c r="BF38" i="16" s="1"/>
  <c r="BE40" i="16"/>
  <c r="BE39" i="16" s="1"/>
  <c r="BE38" i="16" s="1"/>
  <c r="BD40" i="16"/>
  <c r="BD39" i="16" s="1"/>
  <c r="BD38" i="16" s="1"/>
  <c r="BC40" i="16"/>
  <c r="BC39" i="16" s="1"/>
  <c r="BC38" i="16" s="1"/>
  <c r="BB40" i="16"/>
  <c r="BB39" i="16" s="1"/>
  <c r="BB38" i="16" s="1"/>
  <c r="BA40" i="16"/>
  <c r="BA39" i="16" s="1"/>
  <c r="BA38" i="16" s="1"/>
  <c r="AZ40" i="16"/>
  <c r="AZ39" i="16" s="1"/>
  <c r="AZ38" i="16" s="1"/>
  <c r="AY40" i="16"/>
  <c r="AY39" i="16" s="1"/>
  <c r="AY38" i="16" s="1"/>
  <c r="AX40" i="16"/>
  <c r="AX39" i="16" s="1"/>
  <c r="AX38" i="16" s="1"/>
  <c r="AW40" i="16"/>
  <c r="AW39" i="16" s="1"/>
  <c r="AW38" i="16" s="1"/>
  <c r="AV40" i="16"/>
  <c r="AV39" i="16" s="1"/>
  <c r="AV38" i="16" s="1"/>
  <c r="AU40" i="16"/>
  <c r="AU39" i="16" s="1"/>
  <c r="AU38" i="16" s="1"/>
  <c r="AT40" i="16"/>
  <c r="AT39" i="16" s="1"/>
  <c r="AT38" i="16" s="1"/>
  <c r="AS40" i="16"/>
  <c r="AS39" i="16" s="1"/>
  <c r="AS38" i="16" s="1"/>
  <c r="AR40" i="16"/>
  <c r="AR39" i="16" s="1"/>
  <c r="AR38" i="16" s="1"/>
  <c r="AQ40" i="16"/>
  <c r="AQ39" i="16" s="1"/>
  <c r="AQ38" i="16" s="1"/>
  <c r="AP40" i="16"/>
  <c r="AP39" i="16" s="1"/>
  <c r="AP38" i="16" s="1"/>
  <c r="AO40" i="16"/>
  <c r="AO39" i="16" s="1"/>
  <c r="AO38" i="16" s="1"/>
  <c r="AN40" i="16"/>
  <c r="AN39" i="16" s="1"/>
  <c r="AN38" i="16" s="1"/>
  <c r="AM40" i="16"/>
  <c r="AM39" i="16" s="1"/>
  <c r="AM38" i="16" s="1"/>
  <c r="AL40" i="16"/>
  <c r="AL39" i="16" s="1"/>
  <c r="AL38" i="16" s="1"/>
  <c r="AK40" i="16"/>
  <c r="AK39" i="16" s="1"/>
  <c r="AK38" i="16" s="1"/>
  <c r="AJ40" i="16"/>
  <c r="AJ39" i="16" s="1"/>
  <c r="AJ38" i="16" s="1"/>
  <c r="AI40" i="16"/>
  <c r="AI39" i="16" s="1"/>
  <c r="AI38" i="16" s="1"/>
  <c r="AH40" i="16"/>
  <c r="AH39" i="16" s="1"/>
  <c r="AH38" i="16" s="1"/>
  <c r="AG40" i="16"/>
  <c r="AG39" i="16" s="1"/>
  <c r="AG38" i="16" s="1"/>
  <c r="AF40" i="16"/>
  <c r="AF39" i="16" s="1"/>
  <c r="AF38" i="16" s="1"/>
  <c r="AE40" i="16"/>
  <c r="AE39" i="16" s="1"/>
  <c r="AE38" i="16" s="1"/>
  <c r="AD40" i="16"/>
  <c r="AD39" i="16" s="1"/>
  <c r="AD38" i="16" s="1"/>
  <c r="AC40" i="16"/>
  <c r="AC39" i="16" s="1"/>
  <c r="AC38" i="16" s="1"/>
  <c r="AB40" i="16"/>
  <c r="AB39" i="16" s="1"/>
  <c r="AB38" i="16" s="1"/>
  <c r="AA40" i="16"/>
  <c r="AA39" i="16" s="1"/>
  <c r="AA38" i="16" s="1"/>
  <c r="Z40" i="16"/>
  <c r="Z39" i="16" s="1"/>
  <c r="Z38" i="16" s="1"/>
  <c r="Y40" i="16"/>
  <c r="Y39" i="16" s="1"/>
  <c r="Y38" i="16" s="1"/>
  <c r="X40" i="16"/>
  <c r="X39" i="16" s="1"/>
  <c r="X38" i="16" s="1"/>
  <c r="W40" i="16"/>
  <c r="W39" i="16" s="1"/>
  <c r="W38" i="16" s="1"/>
  <c r="V40" i="16"/>
  <c r="V39" i="16" s="1"/>
  <c r="V38" i="16" s="1"/>
  <c r="U40" i="16"/>
  <c r="U39" i="16" s="1"/>
  <c r="U38" i="16" s="1"/>
  <c r="T40" i="16"/>
  <c r="T39" i="16" s="1"/>
  <c r="T38" i="16" s="1"/>
  <c r="S40" i="16"/>
  <c r="S39" i="16" s="1"/>
  <c r="S38" i="16" s="1"/>
  <c r="R40" i="16"/>
  <c r="R39" i="16" s="1"/>
  <c r="R38" i="16" s="1"/>
  <c r="Q40" i="16"/>
  <c r="Q39" i="16" s="1"/>
  <c r="Q38" i="16" s="1"/>
  <c r="P40" i="16"/>
  <c r="P39" i="16" s="1"/>
  <c r="P38" i="16" s="1"/>
  <c r="O40" i="16"/>
  <c r="O39" i="16" s="1"/>
  <c r="O38" i="16" s="1"/>
  <c r="N40" i="16"/>
  <c r="N39" i="16" s="1"/>
  <c r="N38" i="16" s="1"/>
  <c r="M40" i="16"/>
  <c r="M39" i="16" s="1"/>
  <c r="M38" i="16" s="1"/>
  <c r="L40" i="16"/>
  <c r="L39" i="16" s="1"/>
  <c r="L38" i="16" s="1"/>
  <c r="K40" i="16"/>
  <c r="K39" i="16" s="1"/>
  <c r="K38" i="16" s="1"/>
  <c r="J40" i="16"/>
  <c r="J39" i="16" s="1"/>
  <c r="J38" i="16" s="1"/>
  <c r="I40" i="16"/>
  <c r="I39" i="16" s="1"/>
  <c r="I38" i="16" s="1"/>
  <c r="H40" i="16"/>
  <c r="H39" i="16" s="1"/>
  <c r="H38" i="16" s="1"/>
  <c r="G40" i="16"/>
  <c r="G39" i="16" s="1"/>
  <c r="G38" i="16" s="1"/>
  <c r="F40" i="16"/>
  <c r="F39" i="16" s="1"/>
  <c r="F38" i="16" s="1"/>
  <c r="C40" i="16"/>
  <c r="B40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D37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D36" i="16"/>
  <c r="BF35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D35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D34" i="16"/>
  <c r="BF33" i="16"/>
  <c r="BE33" i="16"/>
  <c r="BD33" i="16"/>
  <c r="BC33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D33" i="16"/>
  <c r="BF32" i="16"/>
  <c r="BE32" i="16"/>
  <c r="BD32" i="16"/>
  <c r="BC32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D32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D31" i="16"/>
  <c r="BF30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D30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D29" i="16"/>
  <c r="C28" i="16"/>
  <c r="B28" i="16"/>
  <c r="D28" i="16" s="1"/>
  <c r="BF27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D27" i="16"/>
  <c r="BF26" i="16"/>
  <c r="BE26" i="16"/>
  <c r="BD26" i="16"/>
  <c r="BC26" i="16"/>
  <c r="BB26" i="16"/>
  <c r="BA26" i="16"/>
  <c r="AZ26" i="16"/>
  <c r="AY26" i="16"/>
  <c r="AX26" i="16"/>
  <c r="AW26" i="16"/>
  <c r="AV26" i="16"/>
  <c r="AU26" i="16"/>
  <c r="AT26" i="16"/>
  <c r="AS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D26" i="16"/>
  <c r="BF25" i="16"/>
  <c r="BE25" i="16"/>
  <c r="BD25" i="16"/>
  <c r="BC25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D25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D24" i="16"/>
  <c r="BF23" i="16"/>
  <c r="BE23" i="16"/>
  <c r="C23" i="16" s="1"/>
  <c r="C19" i="16" s="1"/>
  <c r="BD23" i="16"/>
  <c r="BC23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BF21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D20" i="16"/>
  <c r="B19" i="16"/>
  <c r="BF17" i="16"/>
  <c r="BE17" i="16"/>
  <c r="BD17" i="16"/>
  <c r="BC17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D17" i="16"/>
  <c r="BF16" i="16"/>
  <c r="BE16" i="16"/>
  <c r="BD16" i="16"/>
  <c r="BC16" i="16"/>
  <c r="BB16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D16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C15" i="16"/>
  <c r="D15" i="16" s="1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D13" i="16"/>
  <c r="B12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B10" i="16"/>
  <c r="D10" i="16" s="1"/>
  <c r="BC9" i="16"/>
  <c r="BB9" i="16"/>
  <c r="AS9" i="16"/>
  <c r="AR9" i="16"/>
  <c r="AI9" i="16"/>
  <c r="AH9" i="16"/>
  <c r="Y9" i="16"/>
  <c r="T9" i="16"/>
  <c r="X9" i="16" s="1"/>
  <c r="M9" i="16"/>
  <c r="O9" i="16" s="1"/>
  <c r="BF8" i="16"/>
  <c r="BE8" i="16"/>
  <c r="BD8" i="16"/>
  <c r="BC8" i="16"/>
  <c r="BB8" i="16"/>
  <c r="BA8" i="16"/>
  <c r="AZ8" i="16"/>
  <c r="AY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D8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D7" i="16"/>
  <c r="N2" i="16"/>
  <c r="D113" i="15"/>
  <c r="BC111" i="15"/>
  <c r="BC109" i="15" s="1"/>
  <c r="BB111" i="15"/>
  <c r="AS111" i="15"/>
  <c r="AR111" i="15"/>
  <c r="AI111" i="15"/>
  <c r="AH111" i="15"/>
  <c r="Y111" i="15"/>
  <c r="X111" i="15"/>
  <c r="O111" i="15"/>
  <c r="O109" i="15" s="1"/>
  <c r="N111" i="15"/>
  <c r="N109" i="15" s="1"/>
  <c r="D111" i="15"/>
  <c r="BC110" i="15"/>
  <c r="BB110" i="15"/>
  <c r="AS110" i="15"/>
  <c r="AR110" i="15"/>
  <c r="AI110" i="15"/>
  <c r="AH110" i="15"/>
  <c r="X110" i="15"/>
  <c r="Q110" i="15"/>
  <c r="M110" i="15"/>
  <c r="M109" i="15" s="1"/>
  <c r="K110" i="15"/>
  <c r="K109" i="15" s="1"/>
  <c r="I110" i="15"/>
  <c r="I109" i="15" s="1"/>
  <c r="D110" i="15"/>
  <c r="BA109" i="15"/>
  <c r="AZ109" i="15"/>
  <c r="AY109" i="15"/>
  <c r="AX109" i="15"/>
  <c r="AW109" i="15"/>
  <c r="AV109" i="15"/>
  <c r="AU109" i="15"/>
  <c r="AT109" i="15"/>
  <c r="AR109" i="15"/>
  <c r="AQ109" i="15"/>
  <c r="AP109" i="15"/>
  <c r="AO109" i="15"/>
  <c r="AN109" i="15"/>
  <c r="AM109" i="15"/>
  <c r="AL109" i="15"/>
  <c r="AK109" i="15"/>
  <c r="AJ109" i="15"/>
  <c r="AG109" i="15"/>
  <c r="AF109" i="15"/>
  <c r="AE109" i="15"/>
  <c r="AD109" i="15"/>
  <c r="AC109" i="15"/>
  <c r="AB109" i="15"/>
  <c r="AA109" i="15"/>
  <c r="Z109" i="15"/>
  <c r="W109" i="15"/>
  <c r="V109" i="15"/>
  <c r="U109" i="15"/>
  <c r="T109" i="15"/>
  <c r="S109" i="15"/>
  <c r="R109" i="15"/>
  <c r="P109" i="15"/>
  <c r="L109" i="15"/>
  <c r="J109" i="15"/>
  <c r="H109" i="15"/>
  <c r="G109" i="15"/>
  <c r="F109" i="15"/>
  <c r="C109" i="15"/>
  <c r="B109" i="15"/>
  <c r="BC108" i="15"/>
  <c r="BB108" i="15"/>
  <c r="AS108" i="15"/>
  <c r="AL108" i="15"/>
  <c r="AR108" i="15" s="1"/>
  <c r="AI108" i="15"/>
  <c r="AH108" i="15"/>
  <c r="Y108" i="15"/>
  <c r="X108" i="15"/>
  <c r="O108" i="15"/>
  <c r="N108" i="15"/>
  <c r="D108" i="15"/>
  <c r="N107" i="15"/>
  <c r="D107" i="15"/>
  <c r="BF107" i="15" s="1"/>
  <c r="BC106" i="15"/>
  <c r="BB106" i="15"/>
  <c r="AS106" i="15"/>
  <c r="AR106" i="15"/>
  <c r="AI106" i="15"/>
  <c r="AH106" i="15"/>
  <c r="Y106" i="15"/>
  <c r="X106" i="15"/>
  <c r="O106" i="15"/>
  <c r="N106" i="15"/>
  <c r="D106" i="15"/>
  <c r="BC105" i="15"/>
  <c r="BB105" i="15"/>
  <c r="AS105" i="15"/>
  <c r="AR105" i="15"/>
  <c r="AI105" i="15"/>
  <c r="AH105" i="15"/>
  <c r="Y105" i="15"/>
  <c r="X105" i="15"/>
  <c r="O105" i="15"/>
  <c r="N105" i="15"/>
  <c r="D105" i="15"/>
  <c r="BC104" i="15"/>
  <c r="BB104" i="15"/>
  <c r="AS104" i="15"/>
  <c r="AR104" i="15"/>
  <c r="AI104" i="15"/>
  <c r="AH104" i="15"/>
  <c r="Y104" i="15"/>
  <c r="X104" i="15"/>
  <c r="O104" i="15"/>
  <c r="N104" i="15"/>
  <c r="D104" i="15"/>
  <c r="BC103" i="15"/>
  <c r="BB103" i="15"/>
  <c r="AS103" i="15"/>
  <c r="AR103" i="15"/>
  <c r="AI103" i="15"/>
  <c r="AH103" i="15"/>
  <c r="Y103" i="15"/>
  <c r="X103" i="15"/>
  <c r="O103" i="15"/>
  <c r="N103" i="15"/>
  <c r="D103" i="15"/>
  <c r="BE102" i="15"/>
  <c r="BD102" i="15"/>
  <c r="D102" i="15"/>
  <c r="BF101" i="15"/>
  <c r="D101" i="15"/>
  <c r="BC100" i="15"/>
  <c r="BB100" i="15"/>
  <c r="AS100" i="15"/>
  <c r="AR100" i="15"/>
  <c r="AI100" i="15"/>
  <c r="AH100" i="15"/>
  <c r="X100" i="15"/>
  <c r="W100" i="15"/>
  <c r="U100" i="15"/>
  <c r="U93" i="15" s="1"/>
  <c r="S100" i="15"/>
  <c r="S93" i="15" s="1"/>
  <c r="Q100" i="15"/>
  <c r="N100" i="15"/>
  <c r="M100" i="15"/>
  <c r="M93" i="15" s="1"/>
  <c r="K100" i="15"/>
  <c r="K93" i="15" s="1"/>
  <c r="I100" i="15"/>
  <c r="C100" i="15"/>
  <c r="C93" i="15" s="1"/>
  <c r="B100" i="15"/>
  <c r="BC99" i="15"/>
  <c r="BB99" i="15"/>
  <c r="AS99" i="15"/>
  <c r="AR99" i="15"/>
  <c r="AI99" i="15"/>
  <c r="AH99" i="15"/>
  <c r="Y99" i="15"/>
  <c r="X99" i="15"/>
  <c r="O99" i="15"/>
  <c r="N99" i="15"/>
  <c r="D99" i="15"/>
  <c r="BC98" i="15"/>
  <c r="BB98" i="15"/>
  <c r="AS98" i="15"/>
  <c r="AR98" i="15"/>
  <c r="AI98" i="15"/>
  <c r="AH98" i="15"/>
  <c r="Y98" i="15"/>
  <c r="X98" i="15"/>
  <c r="O98" i="15"/>
  <c r="N98" i="15"/>
  <c r="D98" i="15"/>
  <c r="BE97" i="15"/>
  <c r="BF97" i="15" s="1"/>
  <c r="BD97" i="15"/>
  <c r="X97" i="15"/>
  <c r="D97" i="15"/>
  <c r="BC96" i="15"/>
  <c r="AV96" i="15"/>
  <c r="AT96" i="15"/>
  <c r="AS96" i="15"/>
  <c r="AP96" i="15"/>
  <c r="AN96" i="15"/>
  <c r="AL96" i="15"/>
  <c r="AJ96" i="15"/>
  <c r="AI96" i="15"/>
  <c r="AF96" i="15"/>
  <c r="AD96" i="15"/>
  <c r="AB96" i="15"/>
  <c r="Z96" i="15"/>
  <c r="Y96" i="15"/>
  <c r="V96" i="15"/>
  <c r="T96" i="15"/>
  <c r="R96" i="15"/>
  <c r="R93" i="15" s="1"/>
  <c r="P96" i="15"/>
  <c r="P93" i="15" s="1"/>
  <c r="O96" i="15"/>
  <c r="L96" i="15"/>
  <c r="J96" i="15"/>
  <c r="D96" i="15"/>
  <c r="BC95" i="15"/>
  <c r="AZ95" i="15"/>
  <c r="AX95" i="15"/>
  <c r="AX93" i="15" s="1"/>
  <c r="AV95" i="15"/>
  <c r="AV93" i="15" s="1"/>
  <c r="AT95" i="15"/>
  <c r="AS95" i="15"/>
  <c r="AP95" i="15"/>
  <c r="AP93" i="15" s="1"/>
  <c r="AN95" i="15"/>
  <c r="AN93" i="15" s="1"/>
  <c r="AL95" i="15"/>
  <c r="AJ95" i="15"/>
  <c r="AI95" i="15"/>
  <c r="AF95" i="15"/>
  <c r="AD95" i="15"/>
  <c r="AB95" i="15"/>
  <c r="AB93" i="15" s="1"/>
  <c r="Z95" i="15"/>
  <c r="Z93" i="15" s="1"/>
  <c r="Y95" i="15"/>
  <c r="V95" i="15"/>
  <c r="X95" i="15" s="1"/>
  <c r="O95" i="15"/>
  <c r="N95" i="15"/>
  <c r="D95" i="15"/>
  <c r="BC94" i="15"/>
  <c r="BB94" i="15"/>
  <c r="AS94" i="15"/>
  <c r="AR94" i="15"/>
  <c r="AI94" i="15"/>
  <c r="AH94" i="15"/>
  <c r="Y94" i="15"/>
  <c r="X94" i="15"/>
  <c r="O94" i="15"/>
  <c r="N94" i="15"/>
  <c r="D94" i="15"/>
  <c r="BA93" i="15"/>
  <c r="AY93" i="15"/>
  <c r="AW93" i="15"/>
  <c r="AU93" i="15"/>
  <c r="AQ93" i="15"/>
  <c r="AO93" i="15"/>
  <c r="AM93" i="15"/>
  <c r="AK93" i="15"/>
  <c r="AG93" i="15"/>
  <c r="AE93" i="15"/>
  <c r="AC93" i="15"/>
  <c r="AA93" i="15"/>
  <c r="V93" i="15"/>
  <c r="T93" i="15"/>
  <c r="Q93" i="15"/>
  <c r="J93" i="15"/>
  <c r="I93" i="15"/>
  <c r="H93" i="15"/>
  <c r="G93" i="15"/>
  <c r="F93" i="15"/>
  <c r="BE92" i="15"/>
  <c r="BF92" i="15" s="1"/>
  <c r="D92" i="15"/>
  <c r="BE91" i="15"/>
  <c r="BF91" i="15" s="1"/>
  <c r="D91" i="15"/>
  <c r="BE90" i="15"/>
  <c r="BF90" i="15" s="1"/>
  <c r="D90" i="15"/>
  <c r="BF89" i="15"/>
  <c r="BE89" i="15"/>
  <c r="D89" i="15"/>
  <c r="BE88" i="15"/>
  <c r="BF88" i="15" s="1"/>
  <c r="D88" i="15"/>
  <c r="BD87" i="15"/>
  <c r="BC87" i="15"/>
  <c r="BB87" i="15"/>
  <c r="BB79" i="15" s="1"/>
  <c r="BB78" i="15" s="1"/>
  <c r="BA87" i="15"/>
  <c r="BA79" i="15" s="1"/>
  <c r="BA78" i="15" s="1"/>
  <c r="AZ87" i="15"/>
  <c r="AY87" i="15"/>
  <c r="AY79" i="15" s="1"/>
  <c r="AY78" i="15" s="1"/>
  <c r="AX87" i="15"/>
  <c r="AW87" i="15"/>
  <c r="AW79" i="15" s="1"/>
  <c r="AW78" i="15" s="1"/>
  <c r="AV87" i="15"/>
  <c r="AU87" i="15"/>
  <c r="AU79" i="15" s="1"/>
  <c r="AU78" i="15" s="1"/>
  <c r="AT87" i="15"/>
  <c r="AS87" i="15"/>
  <c r="AS79" i="15" s="1"/>
  <c r="AS78" i="15" s="1"/>
  <c r="AR87" i="15"/>
  <c r="AR79" i="15" s="1"/>
  <c r="AR78" i="15" s="1"/>
  <c r="AQ87" i="15"/>
  <c r="AP87" i="15"/>
  <c r="AO87" i="15"/>
  <c r="AO79" i="15" s="1"/>
  <c r="AO78" i="15" s="1"/>
  <c r="AN87" i="15"/>
  <c r="AM87" i="15"/>
  <c r="AL87" i="15"/>
  <c r="AK87" i="15"/>
  <c r="AK79" i="15" s="1"/>
  <c r="AK78" i="15" s="1"/>
  <c r="AJ87" i="15"/>
  <c r="AI87" i="15"/>
  <c r="AI79" i="15" s="1"/>
  <c r="AI78" i="15" s="1"/>
  <c r="AH87" i="15"/>
  <c r="AG87" i="15"/>
  <c r="AG79" i="15" s="1"/>
  <c r="AG78" i="15" s="1"/>
  <c r="AF87" i="15"/>
  <c r="AE87" i="15"/>
  <c r="AD87" i="15"/>
  <c r="AC87" i="15"/>
  <c r="AC79" i="15" s="1"/>
  <c r="AC78" i="15" s="1"/>
  <c r="AB87" i="15"/>
  <c r="AA87" i="15"/>
  <c r="Z87" i="15"/>
  <c r="Y87" i="15"/>
  <c r="Y79" i="15" s="1"/>
  <c r="Y78" i="15" s="1"/>
  <c r="X87" i="15"/>
  <c r="W87" i="15"/>
  <c r="W79" i="15" s="1"/>
  <c r="W78" i="15" s="1"/>
  <c r="V87" i="15"/>
  <c r="U87" i="15"/>
  <c r="U79" i="15" s="1"/>
  <c r="U78" i="15" s="1"/>
  <c r="T87" i="15"/>
  <c r="S87" i="15"/>
  <c r="S79" i="15" s="1"/>
  <c r="R87" i="15"/>
  <c r="Q87" i="15"/>
  <c r="Q79" i="15" s="1"/>
  <c r="Q78" i="15" s="1"/>
  <c r="P87" i="15"/>
  <c r="O87" i="15"/>
  <c r="O79" i="15" s="1"/>
  <c r="O78" i="15" s="1"/>
  <c r="N87" i="15"/>
  <c r="M87" i="15"/>
  <c r="M79" i="15" s="1"/>
  <c r="M78" i="15" s="1"/>
  <c r="L87" i="15"/>
  <c r="K87" i="15"/>
  <c r="K79" i="15" s="1"/>
  <c r="K78" i="15" s="1"/>
  <c r="J87" i="15"/>
  <c r="I87" i="15"/>
  <c r="I79" i="15" s="1"/>
  <c r="I78" i="15" s="1"/>
  <c r="H87" i="15"/>
  <c r="H79" i="15" s="1"/>
  <c r="H78" i="15" s="1"/>
  <c r="G87" i="15"/>
  <c r="G79" i="15" s="1"/>
  <c r="G78" i="15" s="1"/>
  <c r="F87" i="15"/>
  <c r="C87" i="15"/>
  <c r="B87" i="15"/>
  <c r="BE86" i="15"/>
  <c r="BB86" i="15"/>
  <c r="AR86" i="15"/>
  <c r="AH86" i="15"/>
  <c r="X86" i="15"/>
  <c r="N86" i="15"/>
  <c r="D86" i="15"/>
  <c r="BE85" i="15"/>
  <c r="BB85" i="15"/>
  <c r="AR85" i="15"/>
  <c r="AH85" i="15"/>
  <c r="X85" i="15"/>
  <c r="N85" i="15"/>
  <c r="D85" i="15"/>
  <c r="BE84" i="15"/>
  <c r="BB84" i="15"/>
  <c r="AR84" i="15"/>
  <c r="AH84" i="15"/>
  <c r="X84" i="15"/>
  <c r="N84" i="15"/>
  <c r="D84" i="15"/>
  <c r="BE83" i="15"/>
  <c r="BB83" i="15"/>
  <c r="BD83" i="15" s="1"/>
  <c r="D83" i="15"/>
  <c r="BE82" i="15"/>
  <c r="BB82" i="15"/>
  <c r="AR82" i="15"/>
  <c r="AH82" i="15"/>
  <c r="X82" i="15"/>
  <c r="N82" i="15"/>
  <c r="D82" i="15"/>
  <c r="BE81" i="15"/>
  <c r="BB81" i="15"/>
  <c r="AR81" i="15"/>
  <c r="AH81" i="15"/>
  <c r="X81" i="15"/>
  <c r="N81" i="15"/>
  <c r="D81" i="15"/>
  <c r="BE80" i="15"/>
  <c r="AZ80" i="15"/>
  <c r="AZ79" i="15" s="1"/>
  <c r="AZ78" i="15" s="1"/>
  <c r="AX80" i="15"/>
  <c r="AV80" i="15"/>
  <c r="AT80" i="15"/>
  <c r="AT79" i="15" s="1"/>
  <c r="AT78" i="15" s="1"/>
  <c r="AP80" i="15"/>
  <c r="AN80" i="15"/>
  <c r="AN79" i="15" s="1"/>
  <c r="AN78" i="15" s="1"/>
  <c r="AL80" i="15"/>
  <c r="AL79" i="15" s="1"/>
  <c r="AL78" i="15" s="1"/>
  <c r="AJ80" i="15"/>
  <c r="AF80" i="15"/>
  <c r="AF79" i="15" s="1"/>
  <c r="AF78" i="15" s="1"/>
  <c r="AD80" i="15"/>
  <c r="AD79" i="15" s="1"/>
  <c r="AD78" i="15" s="1"/>
  <c r="AB80" i="15"/>
  <c r="Z80" i="15"/>
  <c r="Z79" i="15" s="1"/>
  <c r="Z78" i="15" s="1"/>
  <c r="V80" i="15"/>
  <c r="T80" i="15"/>
  <c r="R80" i="15"/>
  <c r="R79" i="15" s="1"/>
  <c r="R78" i="15" s="1"/>
  <c r="P80" i="15"/>
  <c r="P79" i="15" s="1"/>
  <c r="P78" i="15" s="1"/>
  <c r="L80" i="15"/>
  <c r="J80" i="15"/>
  <c r="C80" i="15"/>
  <c r="B80" i="15"/>
  <c r="D80" i="15" s="1"/>
  <c r="BC79" i="15"/>
  <c r="BC78" i="15" s="1"/>
  <c r="AQ79" i="15"/>
  <c r="AQ78" i="15" s="1"/>
  <c r="AM79" i="15"/>
  <c r="AM78" i="15" s="1"/>
  <c r="AE79" i="15"/>
  <c r="AE78" i="15" s="1"/>
  <c r="AA79" i="15"/>
  <c r="AA78" i="15" s="1"/>
  <c r="V79" i="15"/>
  <c r="V78" i="15" s="1"/>
  <c r="F79" i="15"/>
  <c r="F78" i="15" s="1"/>
  <c r="S78" i="15"/>
  <c r="AH77" i="15"/>
  <c r="X77" i="15"/>
  <c r="O77" i="15"/>
  <c r="N77" i="15"/>
  <c r="D77" i="15"/>
  <c r="BC76" i="15"/>
  <c r="BB76" i="15"/>
  <c r="AS76" i="15"/>
  <c r="BE76" i="15" s="1"/>
  <c r="AR76" i="15"/>
  <c r="AI76" i="15"/>
  <c r="AH76" i="15"/>
  <c r="Y76" i="15"/>
  <c r="T76" i="15"/>
  <c r="X76" i="15" s="1"/>
  <c r="O76" i="15"/>
  <c r="N76" i="15"/>
  <c r="D76" i="15"/>
  <c r="BC75" i="15"/>
  <c r="BB75" i="15"/>
  <c r="AS75" i="15"/>
  <c r="AR75" i="15"/>
  <c r="D75" i="15"/>
  <c r="Y74" i="15"/>
  <c r="BE74" i="15" s="1"/>
  <c r="X74" i="15"/>
  <c r="BD74" i="15" s="1"/>
  <c r="D74" i="15"/>
  <c r="BC73" i="15"/>
  <c r="BB73" i="15"/>
  <c r="AS73" i="15"/>
  <c r="AR73" i="15"/>
  <c r="AI73" i="15"/>
  <c r="AH73" i="15"/>
  <c r="Y73" i="15"/>
  <c r="X73" i="15"/>
  <c r="O73" i="15"/>
  <c r="N73" i="15"/>
  <c r="D73" i="15"/>
  <c r="Y72" i="15"/>
  <c r="X72" i="15"/>
  <c r="O72" i="15"/>
  <c r="N72" i="15"/>
  <c r="D72" i="15"/>
  <c r="BC71" i="15"/>
  <c r="BB71" i="15"/>
  <c r="AS71" i="15"/>
  <c r="AR71" i="15"/>
  <c r="AI71" i="15"/>
  <c r="AH71" i="15"/>
  <c r="Y71" i="15"/>
  <c r="X71" i="15"/>
  <c r="O71" i="15"/>
  <c r="N71" i="15"/>
  <c r="D71" i="15"/>
  <c r="BC70" i="15"/>
  <c r="BB70" i="15"/>
  <c r="AS70" i="15"/>
  <c r="AR70" i="15"/>
  <c r="BD70" i="15" s="1"/>
  <c r="AI70" i="15"/>
  <c r="AH70" i="15"/>
  <c r="Y70" i="15"/>
  <c r="X70" i="15"/>
  <c r="O70" i="15"/>
  <c r="N70" i="15"/>
  <c r="D70" i="15"/>
  <c r="BC69" i="15"/>
  <c r="BE69" i="15" s="1"/>
  <c r="BB69" i="15"/>
  <c r="AS69" i="15"/>
  <c r="AR69" i="15"/>
  <c r="AI69" i="15"/>
  <c r="AH69" i="15"/>
  <c r="Y69" i="15"/>
  <c r="Y67" i="15" s="1"/>
  <c r="X69" i="15"/>
  <c r="O69" i="15"/>
  <c r="N69" i="15"/>
  <c r="D69" i="15"/>
  <c r="BC68" i="15"/>
  <c r="BB68" i="15"/>
  <c r="BB67" i="15" s="1"/>
  <c r="AS68" i="15"/>
  <c r="AS67" i="15" s="1"/>
  <c r="AR68" i="15"/>
  <c r="AI68" i="15"/>
  <c r="AH68" i="15"/>
  <c r="X68" i="15"/>
  <c r="D68" i="15"/>
  <c r="BA67" i="15"/>
  <c r="BA65" i="15" s="1"/>
  <c r="AZ67" i="15"/>
  <c r="AZ65" i="15" s="1"/>
  <c r="AY67" i="15"/>
  <c r="AY65" i="15" s="1"/>
  <c r="AX67" i="15"/>
  <c r="AX65" i="15" s="1"/>
  <c r="AW67" i="15"/>
  <c r="AW65" i="15" s="1"/>
  <c r="AV67" i="15"/>
  <c r="AU67" i="15"/>
  <c r="AU65" i="15" s="1"/>
  <c r="AT67" i="15"/>
  <c r="AT65" i="15" s="1"/>
  <c r="AQ67" i="15"/>
  <c r="AQ65" i="15" s="1"/>
  <c r="AP67" i="15"/>
  <c r="AP65" i="15" s="1"/>
  <c r="AO67" i="15"/>
  <c r="AO65" i="15" s="1"/>
  <c r="AN67" i="15"/>
  <c r="AN65" i="15" s="1"/>
  <c r="AM67" i="15"/>
  <c r="AM65" i="15" s="1"/>
  <c r="AL67" i="15"/>
  <c r="AL65" i="15" s="1"/>
  <c r="AK67" i="15"/>
  <c r="AJ67" i="15"/>
  <c r="AJ65" i="15" s="1"/>
  <c r="AG67" i="15"/>
  <c r="AG65" i="15" s="1"/>
  <c r="AF67" i="15"/>
  <c r="AF65" i="15" s="1"/>
  <c r="AE67" i="15"/>
  <c r="AE65" i="15" s="1"/>
  <c r="AD67" i="15"/>
  <c r="AD65" i="15" s="1"/>
  <c r="AC67" i="15"/>
  <c r="AC65" i="15" s="1"/>
  <c r="AB67" i="15"/>
  <c r="AB65" i="15" s="1"/>
  <c r="AA67" i="15"/>
  <c r="AA65" i="15" s="1"/>
  <c r="Z67" i="15"/>
  <c r="Z65" i="15" s="1"/>
  <c r="W67" i="15"/>
  <c r="W65" i="15" s="1"/>
  <c r="V67" i="15"/>
  <c r="V65" i="15" s="1"/>
  <c r="U67" i="15"/>
  <c r="U65" i="15" s="1"/>
  <c r="T67" i="15"/>
  <c r="S67" i="15"/>
  <c r="S65" i="15" s="1"/>
  <c r="R67" i="15"/>
  <c r="R65" i="15" s="1"/>
  <c r="Q67" i="15"/>
  <c r="Q65" i="15" s="1"/>
  <c r="P67" i="15"/>
  <c r="P65" i="15" s="1"/>
  <c r="M67" i="15"/>
  <c r="M65" i="15" s="1"/>
  <c r="L67" i="15"/>
  <c r="L65" i="15" s="1"/>
  <c r="K67" i="15"/>
  <c r="K65" i="15" s="1"/>
  <c r="J67" i="15"/>
  <c r="J65" i="15" s="1"/>
  <c r="I67" i="15"/>
  <c r="I65" i="15" s="1"/>
  <c r="H67" i="15"/>
  <c r="G67" i="15"/>
  <c r="G65" i="15" s="1"/>
  <c r="F67" i="15"/>
  <c r="F65" i="15" s="1"/>
  <c r="B67" i="15"/>
  <c r="D67" i="15" s="1"/>
  <c r="BC66" i="15"/>
  <c r="BB66" i="15"/>
  <c r="AS66" i="15"/>
  <c r="BE66" i="15" s="1"/>
  <c r="AR66" i="15"/>
  <c r="AI66" i="15"/>
  <c r="AH66" i="15"/>
  <c r="Y66" i="15"/>
  <c r="X66" i="15"/>
  <c r="O66" i="15"/>
  <c r="N66" i="15"/>
  <c r="D66" i="15"/>
  <c r="AV65" i="15"/>
  <c r="AK65" i="15"/>
  <c r="T65" i="15"/>
  <c r="H65" i="15"/>
  <c r="C65" i="15"/>
  <c r="BE64" i="15"/>
  <c r="BD64" i="15"/>
  <c r="BC64" i="15"/>
  <c r="BB64" i="15"/>
  <c r="AS64" i="15"/>
  <c r="AR64" i="15"/>
  <c r="AI64" i="15"/>
  <c r="AH64" i="15"/>
  <c r="Y64" i="15"/>
  <c r="X64" i="15"/>
  <c r="O64" i="15"/>
  <c r="N64" i="15"/>
  <c r="D64" i="15"/>
  <c r="BE63" i="15"/>
  <c r="BF63" i="15" s="1"/>
  <c r="BD63" i="15"/>
  <c r="BC63" i="15"/>
  <c r="BB63" i="15"/>
  <c r="AS63" i="15"/>
  <c r="AR63" i="15"/>
  <c r="AI63" i="15"/>
  <c r="AH63" i="15"/>
  <c r="Y63" i="15"/>
  <c r="X63" i="15"/>
  <c r="N63" i="15"/>
  <c r="I63" i="15"/>
  <c r="I44" i="15" s="1"/>
  <c r="I4" i="15" s="1"/>
  <c r="I112" i="15" s="1"/>
  <c r="D63" i="15"/>
  <c r="BE62" i="15"/>
  <c r="BD62" i="15"/>
  <c r="D62" i="15"/>
  <c r="BE61" i="15"/>
  <c r="BD61" i="15"/>
  <c r="BF61" i="15" s="1"/>
  <c r="BC61" i="15"/>
  <c r="BB61" i="15"/>
  <c r="AS61" i="15"/>
  <c r="AR61" i="15"/>
  <c r="AI61" i="15"/>
  <c r="AH61" i="15"/>
  <c r="Y61" i="15"/>
  <c r="X61" i="15"/>
  <c r="O61" i="15"/>
  <c r="N61" i="15"/>
  <c r="D61" i="15"/>
  <c r="BE60" i="15"/>
  <c r="BD60" i="15"/>
  <c r="BC60" i="15"/>
  <c r="BB60" i="15"/>
  <c r="AS60" i="15"/>
  <c r="AR60" i="15"/>
  <c r="AI60" i="15"/>
  <c r="AH60" i="15"/>
  <c r="Y60" i="15"/>
  <c r="V60" i="15"/>
  <c r="X60" i="15" s="1"/>
  <c r="T60" i="15"/>
  <c r="O60" i="15"/>
  <c r="N60" i="15"/>
  <c r="D60" i="15"/>
  <c r="BE59" i="15"/>
  <c r="BD59" i="15"/>
  <c r="BC59" i="15"/>
  <c r="BB59" i="15"/>
  <c r="AS59" i="15"/>
  <c r="AR59" i="15"/>
  <c r="AI59" i="15"/>
  <c r="AH59" i="15"/>
  <c r="Y59" i="15"/>
  <c r="V59" i="15"/>
  <c r="V44" i="15" s="1"/>
  <c r="T59" i="15"/>
  <c r="R59" i="15"/>
  <c r="R44" i="15" s="1"/>
  <c r="O59" i="15"/>
  <c r="N59" i="15"/>
  <c r="D59" i="15"/>
  <c r="BE58" i="15"/>
  <c r="BD58" i="15"/>
  <c r="D58" i="15"/>
  <c r="BE57" i="15"/>
  <c r="BF57" i="15" s="1"/>
  <c r="BD57" i="15"/>
  <c r="AI57" i="15"/>
  <c r="Y57" i="15"/>
  <c r="D57" i="15"/>
  <c r="BE56" i="15"/>
  <c r="BD56" i="15"/>
  <c r="D56" i="15"/>
  <c r="BE55" i="15"/>
  <c r="BF55" i="15" s="1"/>
  <c r="BD55" i="15"/>
  <c r="D55" i="15"/>
  <c r="BE54" i="15"/>
  <c r="BD54" i="15"/>
  <c r="D54" i="15"/>
  <c r="BE53" i="15"/>
  <c r="BD53" i="15"/>
  <c r="AI53" i="15"/>
  <c r="Y53" i="15"/>
  <c r="D53" i="15"/>
  <c r="BE52" i="15"/>
  <c r="BD52" i="15"/>
  <c r="D52" i="15"/>
  <c r="BE51" i="15"/>
  <c r="BD51" i="15"/>
  <c r="N51" i="15"/>
  <c r="G51" i="15"/>
  <c r="D51" i="15"/>
  <c r="BE50" i="15"/>
  <c r="BD50" i="15"/>
  <c r="BC50" i="15"/>
  <c r="BB50" i="15"/>
  <c r="AS50" i="15"/>
  <c r="AR50" i="15"/>
  <c r="AI50" i="15"/>
  <c r="AH50" i="15"/>
  <c r="Y50" i="15"/>
  <c r="X50" i="15"/>
  <c r="O50" i="15"/>
  <c r="N50" i="15"/>
  <c r="D50" i="15"/>
  <c r="BE49" i="15"/>
  <c r="BD49" i="15"/>
  <c r="D49" i="15"/>
  <c r="BE48" i="15"/>
  <c r="BD48" i="15"/>
  <c r="BF48" i="15" s="1"/>
  <c r="D48" i="15"/>
  <c r="BE47" i="15"/>
  <c r="BD47" i="15"/>
  <c r="BF47" i="15" s="1"/>
  <c r="O47" i="15"/>
  <c r="N47" i="15"/>
  <c r="D47" i="15"/>
  <c r="BE46" i="15"/>
  <c r="BD46" i="15"/>
  <c r="O46" i="15"/>
  <c r="N46" i="15"/>
  <c r="D46" i="15"/>
  <c r="BE45" i="15"/>
  <c r="BF45" i="15" s="1"/>
  <c r="BD45" i="15"/>
  <c r="BC45" i="15"/>
  <c r="BB45" i="15"/>
  <c r="AS45" i="15"/>
  <c r="AR45" i="15"/>
  <c r="AI45" i="15"/>
  <c r="AH45" i="15"/>
  <c r="Y45" i="15"/>
  <c r="X45" i="15"/>
  <c r="O45" i="15"/>
  <c r="N45" i="15"/>
  <c r="D45" i="15"/>
  <c r="BA44" i="15"/>
  <c r="AZ44" i="15"/>
  <c r="AY44" i="15"/>
  <c r="AX44" i="15"/>
  <c r="AW44" i="15"/>
  <c r="AV44" i="15"/>
  <c r="AU44" i="15"/>
  <c r="AT44" i="15"/>
  <c r="AQ44" i="15"/>
  <c r="AP44" i="15"/>
  <c r="AO44" i="15"/>
  <c r="AN44" i="15"/>
  <c r="AM44" i="15"/>
  <c r="AL44" i="15"/>
  <c r="AK44" i="15"/>
  <c r="AJ44" i="15"/>
  <c r="AG44" i="15"/>
  <c r="AF44" i="15"/>
  <c r="AE44" i="15"/>
  <c r="AD44" i="15"/>
  <c r="AC44" i="15"/>
  <c r="AB44" i="15"/>
  <c r="AA44" i="15"/>
  <c r="Z44" i="15"/>
  <c r="W44" i="15"/>
  <c r="U44" i="15"/>
  <c r="T44" i="15"/>
  <c r="S44" i="15"/>
  <c r="Q44" i="15"/>
  <c r="P44" i="15"/>
  <c r="M44" i="15"/>
  <c r="L44" i="15"/>
  <c r="K44" i="15"/>
  <c r="J44" i="15"/>
  <c r="H44" i="15"/>
  <c r="F44" i="15"/>
  <c r="C44" i="15"/>
  <c r="B44" i="15"/>
  <c r="D43" i="15"/>
  <c r="BF43" i="15" s="1"/>
  <c r="BC42" i="15"/>
  <c r="BB42" i="15"/>
  <c r="V42" i="15"/>
  <c r="X42" i="15" s="1"/>
  <c r="O42" i="15"/>
  <c r="N42" i="15"/>
  <c r="D42" i="15"/>
  <c r="BF42" i="15" s="1"/>
  <c r="BE41" i="15"/>
  <c r="O41" i="15"/>
  <c r="D41" i="15"/>
  <c r="BF41" i="15" s="1"/>
  <c r="BC40" i="15"/>
  <c r="BB40" i="15"/>
  <c r="AS40" i="15"/>
  <c r="AR40" i="15"/>
  <c r="AI40" i="15"/>
  <c r="AB40" i="15"/>
  <c r="D40" i="15"/>
  <c r="BF40" i="15" s="1"/>
  <c r="BC39" i="15"/>
  <c r="BB39" i="15"/>
  <c r="AS39" i="15"/>
  <c r="AR39" i="15"/>
  <c r="AI39" i="15"/>
  <c r="AH39" i="15"/>
  <c r="Y39" i="15"/>
  <c r="V39" i="15"/>
  <c r="X39" i="15" s="1"/>
  <c r="O39" i="15"/>
  <c r="N39" i="15"/>
  <c r="D39" i="15"/>
  <c r="BF39" i="15" s="1"/>
  <c r="BC38" i="15"/>
  <c r="BB38" i="15"/>
  <c r="AS38" i="15"/>
  <c r="AR38" i="15"/>
  <c r="AI38" i="15"/>
  <c r="AH38" i="15"/>
  <c r="Y38" i="15"/>
  <c r="X38" i="15"/>
  <c r="O38" i="15"/>
  <c r="L38" i="15"/>
  <c r="N38" i="15" s="1"/>
  <c r="D38" i="15"/>
  <c r="BF38" i="15" s="1"/>
  <c r="D37" i="15"/>
  <c r="BF37" i="15" s="1"/>
  <c r="AG36" i="15"/>
  <c r="AI36" i="15" s="1"/>
  <c r="X36" i="15"/>
  <c r="BD36" i="15" s="1"/>
  <c r="W36" i="15"/>
  <c r="Y36" i="15" s="1"/>
  <c r="M36" i="15"/>
  <c r="O36" i="15" s="1"/>
  <c r="D36" i="15"/>
  <c r="BF36" i="15" s="1"/>
  <c r="BF35" i="15"/>
  <c r="BC35" i="15"/>
  <c r="BB35" i="15"/>
  <c r="AS35" i="15"/>
  <c r="AR35" i="15"/>
  <c r="AI35" i="15"/>
  <c r="AH35" i="15"/>
  <c r="Y35" i="15"/>
  <c r="X35" i="15"/>
  <c r="O35" i="15"/>
  <c r="N35" i="15"/>
  <c r="D35" i="15"/>
  <c r="BC34" i="15"/>
  <c r="BB34" i="15"/>
  <c r="AS34" i="15"/>
  <c r="AR34" i="15"/>
  <c r="AI34" i="15"/>
  <c r="AH34" i="15"/>
  <c r="Y34" i="15"/>
  <c r="X34" i="15"/>
  <c r="O34" i="15"/>
  <c r="N34" i="15"/>
  <c r="D34" i="15"/>
  <c r="BF34" i="15" s="1"/>
  <c r="BA33" i="15"/>
  <c r="AZ33" i="15"/>
  <c r="AY33" i="15"/>
  <c r="AX33" i="15"/>
  <c r="AW33" i="15"/>
  <c r="AV33" i="15"/>
  <c r="AU33" i="15"/>
  <c r="AT33" i="15"/>
  <c r="AQ33" i="15"/>
  <c r="AP33" i="15"/>
  <c r="AO33" i="15"/>
  <c r="AN33" i="15"/>
  <c r="AM33" i="15"/>
  <c r="AL33" i="15"/>
  <c r="AK33" i="15"/>
  <c r="AJ33" i="15"/>
  <c r="AG33" i="15"/>
  <c r="AF33" i="15"/>
  <c r="AE33" i="15"/>
  <c r="AD33" i="15"/>
  <c r="AC33" i="15"/>
  <c r="AA33" i="15"/>
  <c r="Z33" i="15"/>
  <c r="U33" i="15"/>
  <c r="T33" i="15"/>
  <c r="S33" i="15"/>
  <c r="R33" i="15"/>
  <c r="Q33" i="15"/>
  <c r="P33" i="15"/>
  <c r="K33" i="15"/>
  <c r="J33" i="15"/>
  <c r="I33" i="15"/>
  <c r="H33" i="15"/>
  <c r="G33" i="15"/>
  <c r="F33" i="15"/>
  <c r="C33" i="15"/>
  <c r="B33" i="15"/>
  <c r="BC32" i="15"/>
  <c r="BB32" i="15"/>
  <c r="AS32" i="15"/>
  <c r="AR32" i="15"/>
  <c r="AI32" i="15"/>
  <c r="AH32" i="15"/>
  <c r="Y32" i="15"/>
  <c r="X32" i="15"/>
  <c r="O32" i="15"/>
  <c r="N32" i="15"/>
  <c r="D32" i="15"/>
  <c r="BC31" i="15"/>
  <c r="BB31" i="15"/>
  <c r="AS31" i="15"/>
  <c r="AR31" i="15"/>
  <c r="AI31" i="15"/>
  <c r="AH31" i="15"/>
  <c r="Y31" i="15"/>
  <c r="X31" i="15"/>
  <c r="O31" i="15"/>
  <c r="N31" i="15"/>
  <c r="D31" i="15"/>
  <c r="BC30" i="15"/>
  <c r="BB30" i="15"/>
  <c r="AS30" i="15"/>
  <c r="AR30" i="15"/>
  <c r="AI30" i="15"/>
  <c r="AH30" i="15"/>
  <c r="Y30" i="15"/>
  <c r="V30" i="15"/>
  <c r="T30" i="15"/>
  <c r="O30" i="15"/>
  <c r="N30" i="15"/>
  <c r="D30" i="15"/>
  <c r="BC29" i="15"/>
  <c r="BB29" i="15"/>
  <c r="AS29" i="15"/>
  <c r="AR29" i="15"/>
  <c r="AI29" i="15"/>
  <c r="AH29" i="15"/>
  <c r="Y29" i="15"/>
  <c r="V29" i="15"/>
  <c r="T29" i="15"/>
  <c r="O29" i="15"/>
  <c r="N29" i="15"/>
  <c r="D29" i="15"/>
  <c r="BC28" i="15"/>
  <c r="BB28" i="15"/>
  <c r="AS28" i="15"/>
  <c r="AR28" i="15"/>
  <c r="AI28" i="15"/>
  <c r="AH28" i="15"/>
  <c r="Y28" i="15"/>
  <c r="V28" i="15"/>
  <c r="T28" i="15"/>
  <c r="O28" i="15"/>
  <c r="N28" i="15"/>
  <c r="D28" i="15"/>
  <c r="BC27" i="15"/>
  <c r="BB27" i="15"/>
  <c r="AS27" i="15"/>
  <c r="AR27" i="15"/>
  <c r="AI27" i="15"/>
  <c r="AH27" i="15"/>
  <c r="Y27" i="15"/>
  <c r="V27" i="15"/>
  <c r="T27" i="15"/>
  <c r="O27" i="15"/>
  <c r="N27" i="15"/>
  <c r="D27" i="15"/>
  <c r="BC26" i="15"/>
  <c r="BB26" i="15"/>
  <c r="AS26" i="15"/>
  <c r="AR26" i="15"/>
  <c r="AI26" i="15"/>
  <c r="AH26" i="15"/>
  <c r="Y26" i="15"/>
  <c r="X26" i="15"/>
  <c r="O26" i="15"/>
  <c r="N26" i="15"/>
  <c r="D26" i="15"/>
  <c r="BC25" i="15"/>
  <c r="BB25" i="15"/>
  <c r="AS25" i="15"/>
  <c r="AR25" i="15"/>
  <c r="AI25" i="15"/>
  <c r="AH25" i="15"/>
  <c r="Y25" i="15"/>
  <c r="V25" i="15"/>
  <c r="T25" i="15"/>
  <c r="O25" i="15"/>
  <c r="N25" i="15"/>
  <c r="D25" i="15"/>
  <c r="BC24" i="15"/>
  <c r="BB24" i="15"/>
  <c r="AS24" i="15"/>
  <c r="AR24" i="15"/>
  <c r="AI24" i="15"/>
  <c r="AH24" i="15"/>
  <c r="AH5" i="15" s="1"/>
  <c r="Y24" i="15"/>
  <c r="X24" i="15"/>
  <c r="O24" i="15"/>
  <c r="N24" i="15"/>
  <c r="D24" i="15"/>
  <c r="BC23" i="15"/>
  <c r="BB23" i="15"/>
  <c r="AS23" i="15"/>
  <c r="AR23" i="15"/>
  <c r="AI23" i="15"/>
  <c r="AH23" i="15"/>
  <c r="Y23" i="15"/>
  <c r="T23" i="15"/>
  <c r="X23" i="15" s="1"/>
  <c r="O23" i="15"/>
  <c r="N23" i="15"/>
  <c r="D23" i="15"/>
  <c r="BC22" i="15"/>
  <c r="BB22" i="15"/>
  <c r="AS22" i="15"/>
  <c r="AR22" i="15"/>
  <c r="AI22" i="15"/>
  <c r="AH22" i="15"/>
  <c r="Y22" i="15"/>
  <c r="X22" i="15"/>
  <c r="O22" i="15"/>
  <c r="N22" i="15"/>
  <c r="D22" i="15"/>
  <c r="BC21" i="15"/>
  <c r="BB21" i="15"/>
  <c r="AS21" i="15"/>
  <c r="AR21" i="15"/>
  <c r="AI21" i="15"/>
  <c r="AH21" i="15"/>
  <c r="Y21" i="15"/>
  <c r="V21" i="15"/>
  <c r="T21" i="15"/>
  <c r="X21" i="15" s="1"/>
  <c r="O21" i="15"/>
  <c r="N21" i="15"/>
  <c r="D21" i="15"/>
  <c r="O20" i="15"/>
  <c r="BE20" i="15" s="1"/>
  <c r="BF20" i="15" s="1"/>
  <c r="D20" i="15"/>
  <c r="O19" i="15"/>
  <c r="BE19" i="15" s="1"/>
  <c r="BF19" i="15" s="1"/>
  <c r="D19" i="15"/>
  <c r="O18" i="15"/>
  <c r="BE18" i="15" s="1"/>
  <c r="BF18" i="15" s="1"/>
  <c r="D18" i="15"/>
  <c r="O17" i="15"/>
  <c r="BE17" i="15" s="1"/>
  <c r="BF17" i="15" s="1"/>
  <c r="D17" i="15"/>
  <c r="O16" i="15"/>
  <c r="BE16" i="15" s="1"/>
  <c r="BF16" i="15" s="1"/>
  <c r="D16" i="15"/>
  <c r="O15" i="15"/>
  <c r="BE15" i="15" s="1"/>
  <c r="BF15" i="15" s="1"/>
  <c r="D15" i="15"/>
  <c r="BE14" i="15"/>
  <c r="BF14" i="15" s="1"/>
  <c r="BD14" i="15"/>
  <c r="D14" i="15"/>
  <c r="BD13" i="15"/>
  <c r="Y13" i="15"/>
  <c r="X13" i="15"/>
  <c r="G13" i="15"/>
  <c r="G5" i="15" s="1"/>
  <c r="D13" i="15"/>
  <c r="BE12" i="15"/>
  <c r="BD12" i="15"/>
  <c r="BE11" i="15"/>
  <c r="BD11" i="15"/>
  <c r="BF11" i="15" s="1"/>
  <c r="BC10" i="15"/>
  <c r="BB10" i="15"/>
  <c r="AS10" i="15"/>
  <c r="AR10" i="15"/>
  <c r="AI10" i="15"/>
  <c r="AH10" i="15"/>
  <c r="Y10" i="15"/>
  <c r="T10" i="15"/>
  <c r="O10" i="15"/>
  <c r="D10" i="15"/>
  <c r="BF9" i="15"/>
  <c r="D9" i="15"/>
  <c r="BC8" i="15"/>
  <c r="BB8" i="15"/>
  <c r="AS8" i="15"/>
  <c r="AR8" i="15"/>
  <c r="AI8" i="15"/>
  <c r="AH8" i="15"/>
  <c r="Y8" i="15"/>
  <c r="X8" i="15"/>
  <c r="O8" i="15"/>
  <c r="N8" i="15"/>
  <c r="D8" i="15"/>
  <c r="Y7" i="15"/>
  <c r="X7" i="15"/>
  <c r="O7" i="15"/>
  <c r="N7" i="15"/>
  <c r="D7" i="15"/>
  <c r="BC6" i="15"/>
  <c r="BB6" i="15"/>
  <c r="AS6" i="15"/>
  <c r="AR6" i="15"/>
  <c r="AI6" i="15"/>
  <c r="AH6" i="15"/>
  <c r="Y6" i="15"/>
  <c r="X6" i="15"/>
  <c r="O6" i="15"/>
  <c r="N6" i="15"/>
  <c r="D6" i="15"/>
  <c r="BA5" i="15"/>
  <c r="AZ5" i="15"/>
  <c r="AY5" i="15"/>
  <c r="AX5" i="15"/>
  <c r="AW5" i="15"/>
  <c r="AV5" i="15"/>
  <c r="AU5" i="15"/>
  <c r="AT5" i="15"/>
  <c r="AT4" i="15" s="1"/>
  <c r="AQ5" i="15"/>
  <c r="AQ4" i="15" s="1"/>
  <c r="AP5" i="15"/>
  <c r="AP4" i="15" s="1"/>
  <c r="AO5" i="15"/>
  <c r="AN5" i="15"/>
  <c r="AM5" i="15"/>
  <c r="AM4" i="15" s="1"/>
  <c r="AL5" i="15"/>
  <c r="AL4" i="15" s="1"/>
  <c r="AK5" i="15"/>
  <c r="AJ5" i="15"/>
  <c r="AG5" i="15"/>
  <c r="AF5" i="15"/>
  <c r="AE5" i="15"/>
  <c r="AD5" i="15"/>
  <c r="AC5" i="15"/>
  <c r="AC4" i="15" s="1"/>
  <c r="AC112" i="15" s="1"/>
  <c r="AB5" i="15"/>
  <c r="AA5" i="15"/>
  <c r="Z5" i="15"/>
  <c r="W5" i="15"/>
  <c r="U5" i="15"/>
  <c r="S5" i="15"/>
  <c r="R5" i="15"/>
  <c r="Q5" i="15"/>
  <c r="P5" i="15"/>
  <c r="M5" i="15"/>
  <c r="L5" i="15"/>
  <c r="K5" i="15"/>
  <c r="J5" i="15"/>
  <c r="I5" i="15"/>
  <c r="H5" i="15"/>
  <c r="F5" i="15"/>
  <c r="C5" i="15"/>
  <c r="B5" i="15"/>
  <c r="BA4" i="15"/>
  <c r="AX4" i="15"/>
  <c r="S4" i="15"/>
  <c r="N2" i="15"/>
  <c r="C115" i="5"/>
  <c r="C106" i="5"/>
  <c r="C103" i="5"/>
  <c r="C95" i="5"/>
  <c r="C3" i="5"/>
  <c r="B65" i="15" l="1"/>
  <c r="D65" i="15" s="1"/>
  <c r="BF102" i="15"/>
  <c r="Z4" i="15"/>
  <c r="Z112" i="15" s="1"/>
  <c r="BF46" i="15"/>
  <c r="AI67" i="15"/>
  <c r="AI65" i="15" s="1"/>
  <c r="D5" i="15"/>
  <c r="X25" i="15"/>
  <c r="BD25" i="15" s="1"/>
  <c r="BF25" i="15" s="1"/>
  <c r="V33" i="15"/>
  <c r="AS33" i="15"/>
  <c r="O33" i="15"/>
  <c r="BC44" i="15"/>
  <c r="AR44" i="15"/>
  <c r="BF74" i="15"/>
  <c r="AX79" i="15"/>
  <c r="AX78" i="15" s="1"/>
  <c r="AI93" i="15"/>
  <c r="D33" i="15"/>
  <c r="L33" i="15"/>
  <c r="BF49" i="15"/>
  <c r="AH67" i="15"/>
  <c r="D87" i="15"/>
  <c r="BE95" i="15"/>
  <c r="BF60" i="15"/>
  <c r="BD77" i="15"/>
  <c r="BF77" i="15" s="1"/>
  <c r="BD98" i="15"/>
  <c r="AW4" i="15"/>
  <c r="AW112" i="15" s="1"/>
  <c r="BF51" i="15"/>
  <c r="X59" i="15"/>
  <c r="X44" i="15" s="1"/>
  <c r="X80" i="15"/>
  <c r="X79" i="15" s="1"/>
  <c r="X78" i="15" s="1"/>
  <c r="O93" i="15"/>
  <c r="AD93" i="15"/>
  <c r="B39" i="16"/>
  <c r="B38" i="16" s="1"/>
  <c r="D38" i="16" s="1"/>
  <c r="AD4" i="15"/>
  <c r="AD112" i="15" s="1"/>
  <c r="U4" i="15"/>
  <c r="BE25" i="15"/>
  <c r="AG4" i="15"/>
  <c r="AG112" i="15" s="1"/>
  <c r="N67" i="15"/>
  <c r="AP79" i="15"/>
  <c r="AP78" i="15" s="1"/>
  <c r="AL6" i="16"/>
  <c r="BE6" i="15"/>
  <c r="BF6" i="15" s="1"/>
  <c r="BC5" i="15"/>
  <c r="BE8" i="15"/>
  <c r="BE10" i="15"/>
  <c r="AI5" i="15"/>
  <c r="X67" i="15"/>
  <c r="X65" i="15" s="1"/>
  <c r="R4" i="15"/>
  <c r="R112" i="15" s="1"/>
  <c r="N33" i="15"/>
  <c r="B4" i="15"/>
  <c r="D4" i="15" s="1"/>
  <c r="N5" i="15"/>
  <c r="AS5" i="15"/>
  <c r="BE71" i="15"/>
  <c r="BE73" i="15"/>
  <c r="BB96" i="15"/>
  <c r="AT93" i="15"/>
  <c r="AT112" i="15" s="1"/>
  <c r="BD24" i="15"/>
  <c r="BA112" i="15"/>
  <c r="N80" i="15"/>
  <c r="N79" i="15" s="1"/>
  <c r="N78" i="15" s="1"/>
  <c r="J79" i="15"/>
  <c r="J78" i="15" s="1"/>
  <c r="B93" i="15"/>
  <c r="D93" i="15" s="1"/>
  <c r="D100" i="15"/>
  <c r="AQ112" i="15"/>
  <c r="BE22" i="15"/>
  <c r="BF33" i="15"/>
  <c r="AI44" i="15"/>
  <c r="BC33" i="15"/>
  <c r="U112" i="15"/>
  <c r="AK4" i="15"/>
  <c r="AO4" i="15"/>
  <c r="AU4" i="15"/>
  <c r="AU112" i="15" s="1"/>
  <c r="AY4" i="15"/>
  <c r="AY112" i="15" s="1"/>
  <c r="BD21" i="15"/>
  <c r="V5" i="15"/>
  <c r="V4" i="15" s="1"/>
  <c r="V112" i="15" s="1"/>
  <c r="BE31" i="15"/>
  <c r="J4" i="15"/>
  <c r="J112" i="15" s="1"/>
  <c r="BD44" i="15"/>
  <c r="Y44" i="15"/>
  <c r="N65" i="15"/>
  <c r="BE72" i="15"/>
  <c r="BE75" i="15"/>
  <c r="BF75" i="15" s="1"/>
  <c r="AK112" i="15"/>
  <c r="BE99" i="15"/>
  <c r="BE104" i="15"/>
  <c r="BD108" i="15"/>
  <c r="F4" i="15"/>
  <c r="F112" i="15" s="1"/>
  <c r="Q4" i="15"/>
  <c r="AP112" i="15"/>
  <c r="BE24" i="15"/>
  <c r="K4" i="15"/>
  <c r="K112" i="15" s="1"/>
  <c r="AI33" i="15"/>
  <c r="H4" i="15"/>
  <c r="L4" i="15"/>
  <c r="AF4" i="15"/>
  <c r="AV4" i="15"/>
  <c r="AZ4" i="15"/>
  <c r="BF52" i="15"/>
  <c r="BF64" i="15"/>
  <c r="AR67" i="15"/>
  <c r="AR65" i="15" s="1"/>
  <c r="BD86" i="15"/>
  <c r="BD105" i="15"/>
  <c r="AI109" i="15"/>
  <c r="C39" i="16"/>
  <c r="C38" i="16" s="1"/>
  <c r="AS93" i="15"/>
  <c r="BD100" i="15"/>
  <c r="BD103" i="15"/>
  <c r="BD110" i="15"/>
  <c r="AX112" i="15"/>
  <c r="AA4" i="15"/>
  <c r="AA112" i="15" s="1"/>
  <c r="AE4" i="15"/>
  <c r="AE112" i="15" s="1"/>
  <c r="Y5" i="15"/>
  <c r="X27" i="15"/>
  <c r="BD27" i="15" s="1"/>
  <c r="X28" i="15"/>
  <c r="BD28" i="15" s="1"/>
  <c r="X30" i="15"/>
  <c r="BD30" i="15" s="1"/>
  <c r="BD31" i="15"/>
  <c r="W33" i="15"/>
  <c r="W4" i="15" s="1"/>
  <c r="AR33" i="15"/>
  <c r="BE40" i="15"/>
  <c r="BE42" i="15"/>
  <c r="C4" i="15"/>
  <c r="C112" i="15" s="1"/>
  <c r="C114" i="15" s="1"/>
  <c r="P4" i="15"/>
  <c r="P112" i="15" s="1"/>
  <c r="AJ4" i="15"/>
  <c r="AN4" i="15"/>
  <c r="AN112" i="15" s="1"/>
  <c r="BF58" i="15"/>
  <c r="AS44" i="15"/>
  <c r="O67" i="15"/>
  <c r="O65" i="15" s="1"/>
  <c r="BD72" i="15"/>
  <c r="BD75" i="15"/>
  <c r="BD76" i="15"/>
  <c r="B79" i="15"/>
  <c r="C79" i="15"/>
  <c r="C78" i="15" s="1"/>
  <c r="L79" i="15"/>
  <c r="L78" i="15" s="1"/>
  <c r="T79" i="15"/>
  <c r="T78" i="15" s="1"/>
  <c r="AB79" i="15"/>
  <c r="AB78" i="15" s="1"/>
  <c r="AJ79" i="15"/>
  <c r="AJ78" i="15" s="1"/>
  <c r="AV79" i="15"/>
  <c r="AV78" i="15" s="1"/>
  <c r="AL93" i="15"/>
  <c r="AL112" i="15" s="1"/>
  <c r="BD94" i="15"/>
  <c r="AR96" i="15"/>
  <c r="D109" i="15"/>
  <c r="X109" i="15"/>
  <c r="AH109" i="15"/>
  <c r="B6" i="16"/>
  <c r="B4" i="16" s="1"/>
  <c r="G28" i="16"/>
  <c r="AI28" i="16"/>
  <c r="G12" i="16"/>
  <c r="AA12" i="16"/>
  <c r="AM12" i="16"/>
  <c r="BC12" i="16"/>
  <c r="BA19" i="16"/>
  <c r="I28" i="16"/>
  <c r="M28" i="16"/>
  <c r="Q28" i="16"/>
  <c r="AC28" i="16"/>
  <c r="AG28" i="16"/>
  <c r="AS28" i="16"/>
  <c r="AW28" i="16"/>
  <c r="D69" i="16"/>
  <c r="I6" i="16"/>
  <c r="Q6" i="16"/>
  <c r="U6" i="16"/>
  <c r="Y6" i="16"/>
  <c r="AC6" i="16"/>
  <c r="AG6" i="16"/>
  <c r="AK6" i="16"/>
  <c r="AO6" i="16"/>
  <c r="AS6" i="16"/>
  <c r="AW6" i="16"/>
  <c r="BA6" i="16"/>
  <c r="BD28" i="16"/>
  <c r="H28" i="16"/>
  <c r="L28" i="16"/>
  <c r="P28" i="16"/>
  <c r="X28" i="16"/>
  <c r="AB28" i="16"/>
  <c r="AF28" i="16"/>
  <c r="AN28" i="16"/>
  <c r="AV28" i="16"/>
  <c r="D19" i="16"/>
  <c r="U19" i="16"/>
  <c r="AC19" i="16"/>
  <c r="N6" i="16"/>
  <c r="V6" i="16"/>
  <c r="BD9" i="16"/>
  <c r="BD6" i="16" s="1"/>
  <c r="F19" i="16"/>
  <c r="J19" i="16"/>
  <c r="N19" i="16"/>
  <c r="R19" i="16"/>
  <c r="V19" i="16"/>
  <c r="Z19" i="16"/>
  <c r="AD19" i="16"/>
  <c r="AH19" i="16"/>
  <c r="AL19" i="16"/>
  <c r="AP19" i="16"/>
  <c r="AT19" i="16"/>
  <c r="AX19" i="16"/>
  <c r="BB19" i="16"/>
  <c r="BF19" i="16"/>
  <c r="O28" i="16"/>
  <c r="S28" i="16"/>
  <c r="W28" i="16"/>
  <c r="AM28" i="16"/>
  <c r="AY28" i="16"/>
  <c r="BC28" i="16"/>
  <c r="D47" i="16"/>
  <c r="B53" i="16"/>
  <c r="D53" i="16" s="1"/>
  <c r="D39" i="16"/>
  <c r="D40" i="16"/>
  <c r="C12" i="16"/>
  <c r="D12" i="16" s="1"/>
  <c r="F6" i="16"/>
  <c r="AD6" i="16"/>
  <c r="AT6" i="16"/>
  <c r="BB6" i="16"/>
  <c r="I12" i="16"/>
  <c r="M12" i="16"/>
  <c r="Q12" i="16"/>
  <c r="U12" i="16"/>
  <c r="Y12" i="16"/>
  <c r="AC12" i="16"/>
  <c r="AG12" i="16"/>
  <c r="AK12" i="16"/>
  <c r="AO12" i="16"/>
  <c r="AS12" i="16"/>
  <c r="AW12" i="16"/>
  <c r="BA12" i="16"/>
  <c r="BE12" i="16"/>
  <c r="K12" i="16"/>
  <c r="O12" i="16"/>
  <c r="S12" i="16"/>
  <c r="W12" i="16"/>
  <c r="AE12" i="16"/>
  <c r="AI12" i="16"/>
  <c r="AQ12" i="16"/>
  <c r="AU12" i="16"/>
  <c r="AY12" i="16"/>
  <c r="I19" i="16"/>
  <c r="M19" i="16"/>
  <c r="Q19" i="16"/>
  <c r="Y19" i="16"/>
  <c r="AG19" i="16"/>
  <c r="AK19" i="16"/>
  <c r="AO19" i="16"/>
  <c r="AS19" i="16"/>
  <c r="AW19" i="16"/>
  <c r="BE19" i="16"/>
  <c r="F28" i="16"/>
  <c r="J28" i="16"/>
  <c r="N28" i="16"/>
  <c r="R28" i="16"/>
  <c r="V28" i="16"/>
  <c r="Z28" i="16"/>
  <c r="AD28" i="16"/>
  <c r="AH28" i="16"/>
  <c r="AL28" i="16"/>
  <c r="AP28" i="16"/>
  <c r="AT28" i="16"/>
  <c r="AX28" i="16"/>
  <c r="BB28" i="16"/>
  <c r="BF28" i="16"/>
  <c r="T28" i="16"/>
  <c r="AJ28" i="16"/>
  <c r="AR28" i="16"/>
  <c r="AZ28" i="16"/>
  <c r="M6" i="16"/>
  <c r="H6" i="16"/>
  <c r="L6" i="16"/>
  <c r="P6" i="16"/>
  <c r="T6" i="16"/>
  <c r="AB6" i="16"/>
  <c r="AF6" i="16"/>
  <c r="AJ6" i="16"/>
  <c r="AN6" i="16"/>
  <c r="AR6" i="16"/>
  <c r="AV6" i="16"/>
  <c r="AZ6" i="16"/>
  <c r="J6" i="16"/>
  <c r="R6" i="16"/>
  <c r="Z6" i="16"/>
  <c r="AH6" i="16"/>
  <c r="AP6" i="16"/>
  <c r="AX6" i="16"/>
  <c r="K28" i="16"/>
  <c r="AA28" i="16"/>
  <c r="AE28" i="16"/>
  <c r="AQ28" i="16"/>
  <c r="AU28" i="16"/>
  <c r="U28" i="16"/>
  <c r="Y28" i="16"/>
  <c r="AK28" i="16"/>
  <c r="AO28" i="16"/>
  <c r="BA28" i="16"/>
  <c r="BE28" i="16"/>
  <c r="G6" i="16"/>
  <c r="K6" i="16"/>
  <c r="O6" i="16"/>
  <c r="S6" i="16"/>
  <c r="W6" i="16"/>
  <c r="AA6" i="16"/>
  <c r="AE6" i="16"/>
  <c r="AI6" i="16"/>
  <c r="AM6" i="16"/>
  <c r="AQ6" i="16"/>
  <c r="AU6" i="16"/>
  <c r="AY6" i="16"/>
  <c r="BC6" i="16"/>
  <c r="BE9" i="16"/>
  <c r="BE6" i="16" s="1"/>
  <c r="F12" i="16"/>
  <c r="J12" i="16"/>
  <c r="N12" i="16"/>
  <c r="R12" i="16"/>
  <c r="V12" i="16"/>
  <c r="Z12" i="16"/>
  <c r="AD12" i="16"/>
  <c r="AH12" i="16"/>
  <c r="AL12" i="16"/>
  <c r="AP12" i="16"/>
  <c r="AT12" i="16"/>
  <c r="AX12" i="16"/>
  <c r="BB12" i="16"/>
  <c r="BF12" i="16"/>
  <c r="H12" i="16"/>
  <c r="L12" i="16"/>
  <c r="P12" i="16"/>
  <c r="T12" i="16"/>
  <c r="X12" i="16"/>
  <c r="AB12" i="16"/>
  <c r="AF12" i="16"/>
  <c r="AJ12" i="16"/>
  <c r="AN12" i="16"/>
  <c r="AR12" i="16"/>
  <c r="AV12" i="16"/>
  <c r="AZ12" i="16"/>
  <c r="BD12" i="16"/>
  <c r="G19" i="16"/>
  <c r="K19" i="16"/>
  <c r="O19" i="16"/>
  <c r="S19" i="16"/>
  <c r="W19" i="16"/>
  <c r="AA19" i="16"/>
  <c r="AE19" i="16"/>
  <c r="AI19" i="16"/>
  <c r="AM19" i="16"/>
  <c r="AQ19" i="16"/>
  <c r="AU19" i="16"/>
  <c r="AY19" i="16"/>
  <c r="BC19" i="16"/>
  <c r="H19" i="16"/>
  <c r="L19" i="16"/>
  <c r="P19" i="16"/>
  <c r="T19" i="16"/>
  <c r="X19" i="16"/>
  <c r="AB19" i="16"/>
  <c r="AF19" i="16"/>
  <c r="AJ19" i="16"/>
  <c r="AN19" i="16"/>
  <c r="AR19" i="16"/>
  <c r="AV19" i="16"/>
  <c r="AZ19" i="16"/>
  <c r="BD19" i="16"/>
  <c r="X6" i="16"/>
  <c r="D23" i="16"/>
  <c r="D60" i="16"/>
  <c r="BD39" i="15"/>
  <c r="AH33" i="15"/>
  <c r="BF76" i="15"/>
  <c r="BD8" i="15"/>
  <c r="BF8" i="15" s="1"/>
  <c r="BE26" i="15"/>
  <c r="BD32" i="15"/>
  <c r="AH65" i="15"/>
  <c r="BE70" i="15"/>
  <c r="BF70" i="15" s="1"/>
  <c r="BD104" i="15"/>
  <c r="S112" i="15"/>
  <c r="X33" i="15"/>
  <c r="BE35" i="15"/>
  <c r="D44" i="15"/>
  <c r="BE44" i="15"/>
  <c r="G44" i="15"/>
  <c r="G4" i="15" s="1"/>
  <c r="G112" i="15" s="1"/>
  <c r="O51" i="15"/>
  <c r="BF59" i="15"/>
  <c r="BD82" i="15"/>
  <c r="BF82" i="15" s="1"/>
  <c r="BE87" i="15"/>
  <c r="BE79" i="15" s="1"/>
  <c r="BE78" i="15" s="1"/>
  <c r="AJ93" i="15"/>
  <c r="AR95" i="15"/>
  <c r="AR93" i="15" s="1"/>
  <c r="AS109" i="15"/>
  <c r="BE111" i="15"/>
  <c r="BF12" i="15"/>
  <c r="AJ112" i="15"/>
  <c r="AV112" i="15"/>
  <c r="BF53" i="15"/>
  <c r="BC67" i="15"/>
  <c r="BC65" i="15" s="1"/>
  <c r="BD69" i="15"/>
  <c r="BF69" i="15" s="1"/>
  <c r="BF83" i="15"/>
  <c r="BF86" i="15"/>
  <c r="Y100" i="15"/>
  <c r="BE100" i="15" s="1"/>
  <c r="BF100" i="15" s="1"/>
  <c r="W93" i="15"/>
  <c r="W112" i="15" s="1"/>
  <c r="BE103" i="15"/>
  <c r="BE106" i="15"/>
  <c r="BD111" i="15"/>
  <c r="BD109" i="15" s="1"/>
  <c r="BB109" i="15"/>
  <c r="AM112" i="15"/>
  <c r="X10" i="15"/>
  <c r="BD10" i="15" s="1"/>
  <c r="BF10" i="15" s="1"/>
  <c r="T5" i="15"/>
  <c r="T4" i="15" s="1"/>
  <c r="BE23" i="15"/>
  <c r="BE30" i="15"/>
  <c r="BD35" i="15"/>
  <c r="BE36" i="15"/>
  <c r="BE39" i="15"/>
  <c r="O44" i="15"/>
  <c r="BD66" i="15"/>
  <c r="BF66" i="15" s="1"/>
  <c r="BB65" i="15"/>
  <c r="BD68" i="15"/>
  <c r="BE94" i="15"/>
  <c r="L93" i="15"/>
  <c r="N96" i="15"/>
  <c r="N93" i="15" s="1"/>
  <c r="AO112" i="15"/>
  <c r="BD7" i="15"/>
  <c r="O13" i="15"/>
  <c r="BE13" i="15" s="1"/>
  <c r="BF13" i="15" s="1"/>
  <c r="BE27" i="15"/>
  <c r="BE32" i="15"/>
  <c r="BD34" i="15"/>
  <c r="BF54" i="15"/>
  <c r="AR5" i="15"/>
  <c r="AR4" i="15" s="1"/>
  <c r="BD6" i="15"/>
  <c r="BE7" i="15"/>
  <c r="BD22" i="15"/>
  <c r="BF22" i="15" s="1"/>
  <c r="BE28" i="15"/>
  <c r="Y33" i="15"/>
  <c r="Y4" i="15" s="1"/>
  <c r="BE34" i="15"/>
  <c r="BD38" i="15"/>
  <c r="BB5" i="15"/>
  <c r="BE21" i="15"/>
  <c r="BD23" i="15"/>
  <c r="BD26" i="15"/>
  <c r="X29" i="15"/>
  <c r="BD29" i="15" s="1"/>
  <c r="BE29" i="15"/>
  <c r="BB33" i="15"/>
  <c r="BE38" i="15"/>
  <c r="AH40" i="15"/>
  <c r="BD40" i="15" s="1"/>
  <c r="AB33" i="15"/>
  <c r="AB4" i="15" s="1"/>
  <c r="BD42" i="15"/>
  <c r="H112" i="15"/>
  <c r="N44" i="15"/>
  <c r="AH44" i="15"/>
  <c r="BB44" i="15"/>
  <c r="BF50" i="15"/>
  <c r="BF56" i="15"/>
  <c r="Y65" i="15"/>
  <c r="AS65" i="15"/>
  <c r="BE68" i="15"/>
  <c r="BD71" i="15"/>
  <c r="BF87" i="15"/>
  <c r="BD106" i="15"/>
  <c r="BD73" i="15"/>
  <c r="BF73" i="15" s="1"/>
  <c r="BD81" i="15"/>
  <c r="BF81" i="15" s="1"/>
  <c r="AZ93" i="15"/>
  <c r="BB95" i="15"/>
  <c r="X96" i="15"/>
  <c r="X93" i="15" s="1"/>
  <c r="BE96" i="15"/>
  <c r="BD99" i="15"/>
  <c r="BE105" i="15"/>
  <c r="BF105" i="15" s="1"/>
  <c r="M33" i="15"/>
  <c r="M4" i="15" s="1"/>
  <c r="M112" i="15" s="1"/>
  <c r="AH80" i="15"/>
  <c r="BD84" i="15"/>
  <c r="BF84" i="15" s="1"/>
  <c r="BD85" i="15"/>
  <c r="BF85" i="15" s="1"/>
  <c r="AF93" i="15"/>
  <c r="AH95" i="15"/>
  <c r="AH96" i="15"/>
  <c r="BE98" i="15"/>
  <c r="BE108" i="15"/>
  <c r="BC93" i="15"/>
  <c r="Y110" i="15"/>
  <c r="BE110" i="15" s="1"/>
  <c r="BF110" i="15" s="1"/>
  <c r="Q109" i="15"/>
  <c r="Q112" i="15" s="1"/>
  <c r="BF24" i="15" l="1"/>
  <c r="AF112" i="15"/>
  <c r="BF72" i="15"/>
  <c r="AZ112" i="15"/>
  <c r="L112" i="15"/>
  <c r="BF21" i="15"/>
  <c r="BF71" i="15"/>
  <c r="BF98" i="15"/>
  <c r="BF104" i="15"/>
  <c r="AS4" i="15"/>
  <c r="BD96" i="15"/>
  <c r="BF96" i="15" s="1"/>
  <c r="D79" i="15"/>
  <c r="B78" i="15"/>
  <c r="D78" i="15" s="1"/>
  <c r="AB112" i="15"/>
  <c r="BE33" i="15"/>
  <c r="AH4" i="15"/>
  <c r="BF44" i="15"/>
  <c r="X5" i="15"/>
  <c r="X4" i="15" s="1"/>
  <c r="X112" i="15" s="1"/>
  <c r="I120" i="15" s="1"/>
  <c r="BF32" i="15"/>
  <c r="BC4" i="15"/>
  <c r="BC112" i="15" s="1"/>
  <c r="P120" i="15" s="1"/>
  <c r="N4" i="15"/>
  <c r="N112" i="15" s="1"/>
  <c r="G120" i="15" s="1"/>
  <c r="BF27" i="15"/>
  <c r="BF94" i="15"/>
  <c r="BF99" i="15"/>
  <c r="AH93" i="15"/>
  <c r="BF28" i="15"/>
  <c r="T112" i="15"/>
  <c r="BF103" i="15"/>
  <c r="BF26" i="15"/>
  <c r="BF31" i="15"/>
  <c r="AI4" i="15"/>
  <c r="AI112" i="15" s="1"/>
  <c r="L120" i="15" s="1"/>
  <c r="BA4" i="16"/>
  <c r="U4" i="16"/>
  <c r="AC4" i="16"/>
  <c r="BF9" i="16"/>
  <c r="BF6" i="16" s="1"/>
  <c r="BF4" i="16" s="1"/>
  <c r="AS4" i="16"/>
  <c r="AO4" i="16"/>
  <c r="AL4" i="16"/>
  <c r="AK4" i="16"/>
  <c r="BB4" i="16"/>
  <c r="V4" i="16"/>
  <c r="M4" i="16"/>
  <c r="N4" i="16"/>
  <c r="I4" i="16"/>
  <c r="AV4" i="16"/>
  <c r="AF4" i="16"/>
  <c r="P4" i="16"/>
  <c r="F4" i="16"/>
  <c r="AW4" i="16"/>
  <c r="AG4" i="16"/>
  <c r="Q4" i="16"/>
  <c r="AX4" i="16"/>
  <c r="AH4" i="16"/>
  <c r="R4" i="16"/>
  <c r="BE4" i="16"/>
  <c r="AZ4" i="16"/>
  <c r="Y4" i="16"/>
  <c r="AR4" i="16"/>
  <c r="AB4" i="16"/>
  <c r="L4" i="16"/>
  <c r="AJ4" i="16"/>
  <c r="AT4" i="16"/>
  <c r="AD4" i="16"/>
  <c r="T4" i="16"/>
  <c r="AP4" i="16"/>
  <c r="J4" i="16"/>
  <c r="H4" i="16"/>
  <c r="S4" i="16"/>
  <c r="C9" i="16"/>
  <c r="D9" i="16" s="1"/>
  <c r="AN4" i="16"/>
  <c r="Z4" i="16"/>
  <c r="AY4" i="16"/>
  <c r="AI4" i="16"/>
  <c r="AU4" i="16"/>
  <c r="AE4" i="16"/>
  <c r="O4" i="16"/>
  <c r="AQ4" i="16"/>
  <c r="AA4" i="16"/>
  <c r="K4" i="16"/>
  <c r="BD4" i="16"/>
  <c r="X4" i="16"/>
  <c r="BC4" i="16"/>
  <c r="AM4" i="16"/>
  <c r="W4" i="16"/>
  <c r="G4" i="16"/>
  <c r="B72" i="16"/>
  <c r="BE5" i="15"/>
  <c r="Y109" i="15"/>
  <c r="BF7" i="15"/>
  <c r="BE109" i="15"/>
  <c r="BF111" i="15"/>
  <c r="BF109" i="15" s="1"/>
  <c r="BD80" i="15"/>
  <c r="AH79" i="15"/>
  <c r="AH78" i="15" s="1"/>
  <c r="AR112" i="15"/>
  <c r="M120" i="15" s="1"/>
  <c r="BF30" i="15"/>
  <c r="BF106" i="15"/>
  <c r="Y93" i="15"/>
  <c r="BF29" i="15"/>
  <c r="BD67" i="15"/>
  <c r="BD65" i="15" s="1"/>
  <c r="BF23" i="15"/>
  <c r="AS112" i="15"/>
  <c r="N120" i="15" s="1"/>
  <c r="BB4" i="15"/>
  <c r="BD33" i="15"/>
  <c r="BF108" i="15"/>
  <c r="BE93" i="15"/>
  <c r="BB93" i="15"/>
  <c r="BD95" i="15"/>
  <c r="BF68" i="15"/>
  <c r="BF67" i="15" s="1"/>
  <c r="BE67" i="15"/>
  <c r="BE65" i="15" s="1"/>
  <c r="BD5" i="15"/>
  <c r="O5" i="15"/>
  <c r="O4" i="15" s="1"/>
  <c r="O112" i="15" s="1"/>
  <c r="H120" i="15" s="1"/>
  <c r="AH112" i="15" l="1"/>
  <c r="K120" i="15" s="1"/>
  <c r="BF65" i="15"/>
  <c r="BF5" i="15"/>
  <c r="BF4" i="15" s="1"/>
  <c r="BD4" i="15"/>
  <c r="Y112" i="15"/>
  <c r="J120" i="15" s="1"/>
  <c r="BE4" i="15"/>
  <c r="BE112" i="15" s="1"/>
  <c r="B112" i="15"/>
  <c r="C6" i="16"/>
  <c r="D6" i="16" s="1"/>
  <c r="B74" i="16"/>
  <c r="R120" i="15"/>
  <c r="BB112" i="15"/>
  <c r="O120" i="15" s="1"/>
  <c r="BD79" i="15"/>
  <c r="BD78" i="15" s="1"/>
  <c r="BF80" i="15"/>
  <c r="BF79" i="15" s="1"/>
  <c r="BF78" i="15" s="1"/>
  <c r="BD93" i="15"/>
  <c r="BF95" i="15"/>
  <c r="BF93" i="15" s="1"/>
  <c r="J121" i="15" l="1"/>
  <c r="B114" i="15"/>
  <c r="D114" i="15" s="1"/>
  <c r="D112" i="15"/>
  <c r="BD112" i="15"/>
  <c r="C4" i="16"/>
  <c r="C72" i="16" s="1"/>
  <c r="BF112" i="15"/>
  <c r="P121" i="15"/>
  <c r="L121" i="15"/>
  <c r="N121" i="15"/>
  <c r="H121" i="15"/>
  <c r="H122" i="15" s="1"/>
  <c r="J122" i="15" s="1"/>
  <c r="Q120" i="15"/>
  <c r="D4" i="16" l="1"/>
  <c r="C74" i="16"/>
  <c r="D74" i="16" s="1"/>
  <c r="D72" i="16"/>
  <c r="G121" i="15"/>
  <c r="G122" i="15" s="1"/>
  <c r="I121" i="15"/>
  <c r="M121" i="15"/>
  <c r="K121" i="15"/>
  <c r="O121" i="15"/>
  <c r="R121" i="15"/>
  <c r="L122" i="15"/>
  <c r="N122" i="15" s="1"/>
  <c r="P122" i="15" s="1"/>
  <c r="Q121" i="15" l="1"/>
  <c r="I122" i="15"/>
  <c r="K122" i="15" s="1"/>
  <c r="M122" i="15" s="1"/>
  <c r="O122" i="15" s="1"/>
  <c r="G4" i="11" l="1"/>
  <c r="G2" i="11"/>
  <c r="G7" i="11" l="1"/>
  <c r="B2" i="11" l="1"/>
  <c r="E2" i="11"/>
  <c r="D2" i="11"/>
  <c r="C2" i="11" l="1"/>
  <c r="F2" i="11"/>
  <c r="H2" i="11" l="1"/>
  <c r="G3" i="11" s="1"/>
  <c r="E4" i="11" l="1"/>
  <c r="E7" i="11" s="1"/>
  <c r="D4" i="11"/>
  <c r="D7" i="11" s="1"/>
  <c r="C4" i="11"/>
  <c r="C7" i="11" s="1"/>
  <c r="B4" i="11"/>
  <c r="B7" i="11" l="1"/>
  <c r="B3" i="11"/>
  <c r="H3" i="11" l="1"/>
  <c r="D3" i="11"/>
  <c r="C3" i="11"/>
  <c r="E3" i="11"/>
  <c r="F3" i="11"/>
  <c r="F4" i="11" l="1"/>
  <c r="F7" i="11" l="1"/>
  <c r="H4" i="11"/>
  <c r="F5" i="11" s="1"/>
  <c r="E5" i="11" l="1"/>
  <c r="H5" i="11"/>
  <c r="B5" i="11"/>
  <c r="C5" i="11"/>
  <c r="G5" i="11"/>
  <c r="H7" i="11"/>
  <c r="F8" i="11" s="1"/>
  <c r="D5" i="11"/>
  <c r="B8" i="11" l="1"/>
  <c r="E8" i="11"/>
  <c r="C8" i="11"/>
  <c r="G8" i="11"/>
  <c r="D8" i="11"/>
  <c r="H8" i="11" l="1"/>
</calcChain>
</file>

<file path=xl/sharedStrings.xml><?xml version="1.0" encoding="utf-8"?>
<sst xmlns="http://schemas.openxmlformats.org/spreadsheetml/2006/main" count="829" uniqueCount="331">
  <si>
    <t>ID</t>
  </si>
  <si>
    <t>Componente</t>
  </si>
  <si>
    <t>Produto</t>
  </si>
  <si>
    <t>Tipo</t>
  </si>
  <si>
    <t>Descrição</t>
  </si>
  <si>
    <t>Unidade de medida</t>
  </si>
  <si>
    <t>Unidades físicas</t>
  </si>
  <si>
    <t>BID (USD)</t>
  </si>
  <si>
    <t>Subproduto</t>
  </si>
  <si>
    <t>TOTAL</t>
  </si>
  <si>
    <t>%</t>
  </si>
  <si>
    <t>Atividade</t>
  </si>
  <si>
    <t>CRONOGRAMA FÍSICO</t>
  </si>
  <si>
    <t>CRONOGRAMA FINANCEIRO</t>
  </si>
  <si>
    <t>1st 18 meses?</t>
  </si>
  <si>
    <t>BID</t>
  </si>
  <si>
    <t>Local</t>
  </si>
  <si>
    <t>TOTAL (USD)</t>
  </si>
  <si>
    <t>Local (USD)</t>
  </si>
  <si>
    <t>Tipo de aquisição</t>
  </si>
  <si>
    <t>Método de aquisição</t>
  </si>
  <si>
    <t>AQUISIÇÕES</t>
  </si>
  <si>
    <t>Y1</t>
  </si>
  <si>
    <t>Y2</t>
  </si>
  <si>
    <t>Y3</t>
  </si>
  <si>
    <t>Y4</t>
  </si>
  <si>
    <t>Y5</t>
  </si>
  <si>
    <t>Produto</t>
    <phoneticPr fontId="0" type="noConversion"/>
  </si>
  <si>
    <t>1.01.1</t>
    <phoneticPr fontId="0" type="noConversion"/>
  </si>
  <si>
    <t>1.01.2</t>
    <phoneticPr fontId="0" type="noConversion"/>
  </si>
  <si>
    <t>1.03.1</t>
    <phoneticPr fontId="0" type="noConversion"/>
  </si>
  <si>
    <t>1.03.1.1</t>
    <phoneticPr fontId="0" type="noConversion"/>
  </si>
  <si>
    <t>1.03.1.2</t>
  </si>
  <si>
    <t>1.03.1.3</t>
  </si>
  <si>
    <t>1.03.1.5</t>
  </si>
  <si>
    <t>1.03.2</t>
    <phoneticPr fontId="0" type="noConversion"/>
  </si>
  <si>
    <t>1.03.2.1</t>
    <phoneticPr fontId="0" type="noConversion"/>
  </si>
  <si>
    <t>1.03.2.2</t>
  </si>
  <si>
    <t>1.03.2.3</t>
  </si>
  <si>
    <t>1.04.1</t>
    <phoneticPr fontId="0" type="noConversion"/>
  </si>
  <si>
    <t>1.05.1</t>
    <phoneticPr fontId="0" type="noConversion"/>
  </si>
  <si>
    <t>1.06.1</t>
    <phoneticPr fontId="0" type="noConversion"/>
  </si>
  <si>
    <t>1.08.1</t>
    <phoneticPr fontId="0" type="noConversion"/>
  </si>
  <si>
    <t>1.10.1</t>
    <phoneticPr fontId="0" type="noConversion"/>
  </si>
  <si>
    <t>Componente</t>
    <phoneticPr fontId="0" type="noConversion"/>
  </si>
  <si>
    <t>Componente</t>
    <phoneticPr fontId="0" type="noConversion"/>
  </si>
  <si>
    <t>1.10.</t>
  </si>
  <si>
    <t>Total</t>
  </si>
  <si>
    <t>Desembolsos Recurso BID</t>
  </si>
  <si>
    <t>(% do total BID)</t>
  </si>
  <si>
    <t>Disponibilidade Contrapartida</t>
  </si>
  <si>
    <t>(% do total contrapartida)</t>
  </si>
  <si>
    <t>Desembolso (USD e %)</t>
  </si>
  <si>
    <t>4.07.1</t>
  </si>
  <si>
    <t>2019
BID</t>
  </si>
  <si>
    <t>2020
BID</t>
  </si>
  <si>
    <t>2020
Local</t>
  </si>
  <si>
    <t>2021
BID</t>
  </si>
  <si>
    <t>2021
Local</t>
  </si>
  <si>
    <t>2022
BID</t>
  </si>
  <si>
    <t>2022
Local</t>
  </si>
  <si>
    <t>2017 - S2</t>
  </si>
  <si>
    <t>2022- S1</t>
  </si>
  <si>
    <t>total Execução</t>
  </si>
  <si>
    <t>PLANO OPERATIVO ANUAL (POA)</t>
  </si>
  <si>
    <t>CRONOGRAMA EM REAL</t>
  </si>
  <si>
    <t xml:space="preserve">ANO 1 </t>
  </si>
  <si>
    <t>ANO 2</t>
  </si>
  <si>
    <t xml:space="preserve">ANO 3 </t>
  </si>
  <si>
    <t xml:space="preserve">ANO 4 </t>
  </si>
  <si>
    <t xml:space="preserve">ANO 5 </t>
  </si>
  <si>
    <t>COMPONENTES</t>
  </si>
  <si>
    <t>TOTAL PLANEJADO</t>
  </si>
  <si>
    <t>1º</t>
  </si>
  <si>
    <t>2º</t>
  </si>
  <si>
    <t>3º</t>
  </si>
  <si>
    <t>4º</t>
  </si>
  <si>
    <t>LOCAL</t>
  </si>
  <si>
    <t>Componente I - Desenvolvimento Urbano Integrado</t>
  </si>
  <si>
    <t>Urbanização Integrada Bairro Santa Maria e Conjunto 17 de Março</t>
  </si>
  <si>
    <t>Construção de 576 apartamentos Bloco 1 - 17 de março</t>
  </si>
  <si>
    <t>Empreendimento Vista Nova - 468 UH  SM (em conclusão) - Santa Maria</t>
  </si>
  <si>
    <t xml:space="preserve">       PTTS - 17 Março / Santa Maria</t>
  </si>
  <si>
    <t>Construção de 206 Unidades Habitacionais</t>
  </si>
  <si>
    <t xml:space="preserve">Infraestrutura para complexo de equipamentos sociais Santa Maria </t>
  </si>
  <si>
    <t xml:space="preserve"> Pavimentação e rede esgoto - Convênio: nº 132/2007.</t>
  </si>
  <si>
    <t xml:space="preserve"> Infraestrutura - Convênio: nº 101/2014 -</t>
  </si>
  <si>
    <t xml:space="preserve"> Complementação da interligação av. 04 com Av. Alexandre Alcino - Convênio: nº 105/2005</t>
  </si>
  <si>
    <t xml:space="preserve">         Pavimentação de vias urbanas locais - 17 de março</t>
  </si>
  <si>
    <t>17 de Março/Infraestrutura do Bloco II (CT 218819-92)</t>
  </si>
  <si>
    <t>Infraestrutura dos 16 Blocos de Apartamentos (CT 99014-15) (CR 211874-25)</t>
  </si>
  <si>
    <t>Área externa dos Apartamentos (CR 218819-92) (CT 99005-18)</t>
  </si>
  <si>
    <t>17 de Março/Infraestrutura do Loteamento Marivan (CT 350979-27)</t>
  </si>
  <si>
    <t>Invasões Santa Maria - Infraestrutura (Camel ) (CT 99003-18) (CR218819-92/07)</t>
  </si>
  <si>
    <t>Santa Maria (Padre Pedro e Valadares)/Infraestrutura (CT 99002-18) (CR 227412-75)</t>
  </si>
  <si>
    <t>Praça 1 - Praça da Música 17 de março</t>
  </si>
  <si>
    <t>Área Comercial (Calcadão e conexão local) - 17 de março</t>
  </si>
  <si>
    <t>Praça 2 - Academia da Cidade - 17 de março</t>
  </si>
  <si>
    <t>Praça 3 - Verde dos Encontros - 17 de março</t>
  </si>
  <si>
    <t>Praça 4 - Relogio do Sol - 17 de março</t>
  </si>
  <si>
    <t>Posto da Guarda Municipal - 17 de março</t>
  </si>
  <si>
    <t>Praça 1 - Praça da Brinquedoteca - Bloco 2</t>
  </si>
  <si>
    <t>Praça 2 - Praça da Maternidade - - Bloco 2</t>
  </si>
  <si>
    <t>Praça 3 - Praça - Bloco 2</t>
  </si>
  <si>
    <t>Praça 4 - Praça Verde - Bloco 2</t>
  </si>
  <si>
    <t>Polo Academia de Saúde - Santa Maria</t>
  </si>
  <si>
    <t>Praça Verde - 4000m - Santa Maria</t>
  </si>
  <si>
    <t>Equipamentos Sociais Bairro Santa Maria e Conjunto 17 de Março</t>
  </si>
  <si>
    <t xml:space="preserve"> UPA Santa Maria</t>
  </si>
  <si>
    <t>CAPS - santa maria</t>
  </si>
  <si>
    <t xml:space="preserve"> Maternidade - 17 de março</t>
  </si>
  <si>
    <t xml:space="preserve">17 de Março/Construção de UBS </t>
  </si>
  <si>
    <t>CREAS Santa Mária</t>
  </si>
  <si>
    <t>CRAS 17 de março bloco 01</t>
  </si>
  <si>
    <t>Casa do Idoso 17 de março</t>
  </si>
  <si>
    <t>CRAS SANTA MARIA (CR 400627-34)</t>
  </si>
  <si>
    <t>EMEF Santa Maria</t>
  </si>
  <si>
    <t xml:space="preserve">17 de Março/Construção de EMEF </t>
  </si>
  <si>
    <t>Intervenções complementares bairros adjacentes (Lamarão/Bugio/Olaria)</t>
  </si>
  <si>
    <t xml:space="preserve">  410 unidades habitacoes (C-1) - Lamarão PAC</t>
  </si>
  <si>
    <t>144 casas - Cidade Nova</t>
  </si>
  <si>
    <t>Empreendimento Jardim Centenário - 192 UH. (a contratar)</t>
  </si>
  <si>
    <t>Área 1 132 UH - Residencial Lamarão</t>
  </si>
  <si>
    <t>Área 2 356 UH - Residencial Lamarão</t>
  </si>
  <si>
    <t xml:space="preserve">         Pavimentação de vias urbanas locais</t>
  </si>
  <si>
    <t xml:space="preserve">Convênio: no 131/2014 - Complementação infraestrutura Coqueiral e recuperação pavimentação Av. Gal Euclides Figueredo. Contrato nov/14. </t>
  </si>
  <si>
    <t>Pantanal/Infraestrutura (CT 350983-88)</t>
  </si>
  <si>
    <t>Infraestrutura de Vias Primárias (corredores) - Pro transporte ( CT 411704-4)</t>
  </si>
  <si>
    <t>Japãozinho/Infraestrutura (CT 1029995-24)</t>
  </si>
  <si>
    <t>Moema Meire/Infraestrutura Ruas M, G, H (CT 1024842-22)</t>
  </si>
  <si>
    <t>Moema Meire/Ruas A, B, C, D e E1  (CT 1025289-69)</t>
  </si>
  <si>
    <t>Jardim Bahia I e II (via Emenda Impositiva)</t>
  </si>
  <si>
    <t>Coqueiral/Infraestrutura</t>
  </si>
  <si>
    <t>CRAS Lamarão</t>
  </si>
  <si>
    <t>CREAS Lamarão</t>
  </si>
  <si>
    <t>Casa LAR Lamarão</t>
  </si>
  <si>
    <t>EMEF Lamarão</t>
  </si>
  <si>
    <t>Centro de Iniciação ao Esporte - Praça - Bugio</t>
  </si>
  <si>
    <t>Praça da Cultura e dos Esportes (C-26) - Olaria</t>
  </si>
  <si>
    <t>Componente II - Recuperação Ambiental</t>
  </si>
  <si>
    <t>Parque Ecológico Póxim</t>
  </si>
  <si>
    <t>Revitalização do Parque da Sementeira</t>
  </si>
  <si>
    <t>Horto</t>
  </si>
  <si>
    <t>Edificações de Apoio executadas</t>
  </si>
  <si>
    <t xml:space="preserve">Infraestrutura do parque </t>
  </si>
  <si>
    <t>Inventário de Arborização Urbana de Aracaju</t>
  </si>
  <si>
    <t>Plano Municipal de Coleta Seletiva</t>
  </si>
  <si>
    <t>Sistema de Informacoes para o Monitoramento de Areas Protegidas Implantado</t>
  </si>
  <si>
    <t>Implantação de Ecopontos (10 ecopontos)</t>
  </si>
  <si>
    <t>Plano Saneamento</t>
  </si>
  <si>
    <t>Estudos para Parques (Plano de Gestão Póxim e estudos Lamarão)</t>
  </si>
  <si>
    <t>Central de Triagem de Recicláveis construída e equipada</t>
  </si>
  <si>
    <t>Componente III - Mobilidade Urbana</t>
  </si>
  <si>
    <t>S - Integração Urbana - Av. Perimetral Oeste</t>
  </si>
  <si>
    <t>Trecho 01</t>
  </si>
  <si>
    <t>Avenida implantada</t>
  </si>
  <si>
    <t>Ponte Construída</t>
  </si>
  <si>
    <t>Viaduto Construído</t>
  </si>
  <si>
    <t>Iluminação Pública Implantada</t>
  </si>
  <si>
    <t>sinalização</t>
  </si>
  <si>
    <t>paisagismo</t>
  </si>
  <si>
    <t>Trecho 02</t>
  </si>
  <si>
    <t>C - Administração do Programa</t>
  </si>
  <si>
    <t>Unidade Coordenadora - UGP</t>
  </si>
  <si>
    <t>Sistema de Gestão do Programa</t>
  </si>
  <si>
    <t>Supervisão de Obras/Gestão Ambiental</t>
  </si>
  <si>
    <t>Aquisição de Equipamentos para o Programa</t>
  </si>
  <si>
    <t>Avaliação e Monitoramento do Programa</t>
  </si>
  <si>
    <t xml:space="preserve">Auditoria </t>
  </si>
  <si>
    <t>Estudos e Projetos</t>
  </si>
  <si>
    <t>Projeto Parque Sementeira</t>
  </si>
  <si>
    <t>Projeto BRT</t>
  </si>
  <si>
    <t>Projeto Executivo Av. Perimetral</t>
  </si>
  <si>
    <t>Ponte Riacho do Cabral</t>
  </si>
  <si>
    <t>Viaduto Av. Perimetral</t>
  </si>
  <si>
    <t>Projeto arqueologico Av. Perimetral</t>
  </si>
  <si>
    <t>Avaliação de Imóveis Av. Perimetral</t>
  </si>
  <si>
    <t>Elaboração de estudos e projetos diversos</t>
  </si>
  <si>
    <t>C - Imprevistos</t>
  </si>
  <si>
    <t>Desapropriações/indenizações</t>
  </si>
  <si>
    <t>Reassentamentos</t>
  </si>
  <si>
    <t>VALOR TOTAL</t>
  </si>
  <si>
    <t>VALOR CONTRATO</t>
  </si>
  <si>
    <t>DIFERENÇA</t>
  </si>
  <si>
    <t>PARRI-PASSU</t>
  </si>
  <si>
    <t>1º ano</t>
  </si>
  <si>
    <t>2º ano</t>
  </si>
  <si>
    <t>3º ano</t>
  </si>
  <si>
    <t>4º ano</t>
  </si>
  <si>
    <t>5º ano</t>
  </si>
  <si>
    <t>Item</t>
  </si>
  <si>
    <t>local</t>
  </si>
  <si>
    <t>Valor</t>
  </si>
  <si>
    <t>% acumulado</t>
  </si>
  <si>
    <t>PTTS - 17 Março / Santa Maria</t>
  </si>
  <si>
    <t xml:space="preserve">   Pavimentação de vias, drenagem e infraestrutura local</t>
  </si>
  <si>
    <t>Implantação de 12 praças</t>
  </si>
  <si>
    <r>
      <t xml:space="preserve">Implantação de 3 Unidades de Saúde (UPA, CAPS, Maternidade e </t>
    </r>
    <r>
      <rPr>
        <b/>
        <sz val="9"/>
        <color rgb="FFFF0000"/>
        <rFont val="Calibri"/>
        <family val="2"/>
        <scheme val="minor"/>
      </rPr>
      <t>UBS</t>
    </r>
    <r>
      <rPr>
        <sz val="9"/>
        <rFont val="Calibri"/>
        <family val="2"/>
        <scheme val="minor"/>
      </rPr>
      <t>)</t>
    </r>
  </si>
  <si>
    <t>Implantação de 2 Centro de Referência Assistência Social (CRAS/CREAS)</t>
  </si>
  <si>
    <t>Implantação de uma Unidade de Assistência Social (Casa Idoso)</t>
  </si>
  <si>
    <t>Escolas Municipais de Ensino Fundamental - EMEF Santa Maria e 17 de março</t>
  </si>
  <si>
    <t xml:space="preserve">Implantação de 746 Unidades Habitações </t>
  </si>
  <si>
    <t>Implantação de 488 UH</t>
  </si>
  <si>
    <t>Infraestrutura e pavimentação vias locais e Av. Gal Euclides Figueredo.</t>
  </si>
  <si>
    <t>Implantação de uma Unidade de Assistência Social (Casa Lar)</t>
  </si>
  <si>
    <t xml:space="preserve">Unidades esportivas (duas) </t>
  </si>
  <si>
    <t>CRONOGRAMA EM DÓLAR</t>
  </si>
  <si>
    <t>ANO 1</t>
  </si>
  <si>
    <t>ANO 3</t>
  </si>
  <si>
    <t>ANO 4</t>
  </si>
  <si>
    <t>ANO 5</t>
  </si>
  <si>
    <t>TOTAL PLANEJADO (US$)</t>
  </si>
  <si>
    <t>2019
(Local)</t>
  </si>
  <si>
    <t>2023
Local</t>
  </si>
  <si>
    <t>2024
BID</t>
  </si>
  <si>
    <t>2023
BID</t>
  </si>
  <si>
    <t>2024
Local</t>
  </si>
  <si>
    <t>Unidades habitacionais construida no Bairro Santa Maria</t>
  </si>
  <si>
    <t>Unidades Habitacionais construidas no Bairro Lamarão</t>
  </si>
  <si>
    <t>Quilometros de vias contruidos ou reabilitados</t>
  </si>
  <si>
    <t>Rede de Esgoto implantada</t>
  </si>
  <si>
    <t>Domicílios com serviços de esgotamento sanitário implantado ou melhorado.</t>
  </si>
  <si>
    <t>Unidades de Saúde Construídas.</t>
  </si>
  <si>
    <t>Centros de Referência de Serviços Sociais (CRAS/CREAS) construídos</t>
  </si>
  <si>
    <t>Unidades de Assistência Social construídas (Casa Lar e Casa de Idosos)</t>
  </si>
  <si>
    <t>Novos Estabelecimentos educativos que incluem Escolas Municipais de Ensino Fundamental (EMEF) em funcionamento</t>
  </si>
  <si>
    <t>Praças construídas no Bairro Santa Maria, 17 de março, Olaria e Bugio.</t>
  </si>
  <si>
    <t>Unidades Desportivas e áreas de lazer construídas no Bairro Santa Maria e 17 de março.</t>
  </si>
  <si>
    <t>Pavimentação de vias, drenagem e infraestrutura local</t>
  </si>
  <si>
    <t>Unidades Habitacionais construidas no Bairro Santa Maria</t>
  </si>
  <si>
    <t>Quilometros de vias construidos ou reabilitados</t>
  </si>
  <si>
    <t>Unidades de saúde construidas</t>
  </si>
  <si>
    <t>Avenida Perimetral Trama 1 pavimentada</t>
  </si>
  <si>
    <t>Ponte sobre o Riacho Cabral construída na Avenida Perimetral</t>
  </si>
  <si>
    <t>Reassentamentos (Plano Executivo de Reassentamento Involuntário - (PERI)</t>
  </si>
  <si>
    <t>Parque Ecológico Poxim implementado</t>
  </si>
  <si>
    <t>Parque da Sementeira Reformado</t>
  </si>
  <si>
    <t>Estudos ambientais elaborados</t>
  </si>
  <si>
    <t>Ecopontos implantados</t>
  </si>
  <si>
    <t>Plano Municipal de Coleta Seletiva elaborado.</t>
  </si>
  <si>
    <t>Sistema de Informações para Monitoramento Ambiental operando.</t>
  </si>
  <si>
    <t>Plano de Trabalho Técnico Social (PTTS) - 17 Março / Santa Maria</t>
  </si>
  <si>
    <t>Implantação de 4 Unidades de Saúde (UPA, CAPS, Maternidade e UBS)</t>
  </si>
  <si>
    <t>Implantação de 2 Centro de Referência Assistência Social (CRAS/CREAS) - Lamarão, Bugio e Olaria</t>
  </si>
  <si>
    <t>Implantação de 2 Centro de Referência Assistência Social (CRAS/CREAS) - Santa Maria e 17 de março</t>
  </si>
  <si>
    <t>Infraestrutura dos conjuntos Padre Pedro e Valadares</t>
  </si>
  <si>
    <t>Intervenções Complementares em Bairros Adjacentes</t>
  </si>
  <si>
    <t>Infraestrutura da Comunidade Pantanal</t>
  </si>
  <si>
    <t>Corredores Jardins - Pro Transporte</t>
  </si>
  <si>
    <t>1.03.2.4</t>
  </si>
  <si>
    <t>Infraestrutura Moema Mary Ruas M, G e H</t>
  </si>
  <si>
    <t>Infraestrutura Moema Mary Ruas A, B, C, D, E, e N</t>
  </si>
  <si>
    <t>1.03.2.5</t>
  </si>
  <si>
    <t>1.03.2.6</t>
  </si>
  <si>
    <t>Infraestrutura Jardim Bahia I e II</t>
  </si>
  <si>
    <t>1.03.2.8</t>
  </si>
  <si>
    <t>Infraestrutura da Avenida Euclides Figueiredo</t>
  </si>
  <si>
    <t>Infraestrutura de Vias Primárias - Beira Mar</t>
  </si>
  <si>
    <t>1.04.1.1</t>
  </si>
  <si>
    <t>1.04.1.2</t>
  </si>
  <si>
    <t>Infraestrutura do Bloco II - 17 de Março</t>
  </si>
  <si>
    <t>1.04.1.4</t>
  </si>
  <si>
    <t>1.04.2</t>
  </si>
  <si>
    <t>1.04.2.1</t>
  </si>
  <si>
    <t>1.04.2.2</t>
  </si>
  <si>
    <t>1.04.2.4</t>
  </si>
  <si>
    <t>1.10.2</t>
  </si>
  <si>
    <t>1.03.1.7</t>
  </si>
  <si>
    <t>Infraestrutura da invasão da Terra Dura, Senhor do Bomfim e Santa Maria</t>
  </si>
  <si>
    <t>Terraplanagem, pavimentação e drenagem - Japãozinho</t>
  </si>
  <si>
    <t>Infraestrutura do Loteamento Marivan</t>
  </si>
  <si>
    <t>1.05.1.1</t>
  </si>
  <si>
    <t>1.05.1.2</t>
  </si>
  <si>
    <t>1.05.1.4</t>
  </si>
  <si>
    <t>1.05.2</t>
  </si>
  <si>
    <t>1.05.2.1</t>
  </si>
  <si>
    <t>1.05.2.2</t>
  </si>
  <si>
    <t>1.05.2.4</t>
  </si>
  <si>
    <t>1.11</t>
  </si>
  <si>
    <t>1.03.1.8</t>
  </si>
  <si>
    <t>1.03.2.9</t>
  </si>
  <si>
    <t xml:space="preserve">EMEF Dom José Vicente Távora - Santo Antônio </t>
  </si>
  <si>
    <t>1.11.1</t>
  </si>
  <si>
    <t>Quadra de Futebol Society - Bairro Soledade</t>
  </si>
  <si>
    <t>1.11.2</t>
  </si>
  <si>
    <t>Reforma de Campo de Futebol - Bairro Japãozinho</t>
  </si>
  <si>
    <t>1.11.3</t>
  </si>
  <si>
    <t>Reforma e Modernização do Campo de Futebol Anchietão</t>
  </si>
  <si>
    <t>1.05.2.5</t>
  </si>
  <si>
    <t>1.04.2.5</t>
  </si>
  <si>
    <t>1.04.2.6</t>
  </si>
  <si>
    <t>1.03.2.10</t>
  </si>
  <si>
    <t>Infraestrutura Avenida Augusto Franco</t>
  </si>
  <si>
    <t>Infraestrutura Moema Mary Ruas E, F, G, D1, G1, E1, J, L, K e Drenagem da Rua H - 2ª etapa</t>
  </si>
  <si>
    <t>Infraestrutura Japãozinho - 2ª etapa</t>
  </si>
  <si>
    <t>1.04.2.7</t>
  </si>
  <si>
    <t>1.03.2.11</t>
  </si>
  <si>
    <t>1.05.2.6</t>
  </si>
  <si>
    <t>1.07.1</t>
  </si>
  <si>
    <t>1.07.2</t>
  </si>
  <si>
    <t>Infraestrutura do Loteamento Tia Caçula - Bairro Cidade Nova</t>
  </si>
  <si>
    <t>1.04.2.12</t>
  </si>
  <si>
    <t>1.04.2.13</t>
  </si>
  <si>
    <t>Infraestrutura e Urbanização do Loteamento Rosa do Sol - Soledade</t>
  </si>
  <si>
    <t>1.04.2.8</t>
  </si>
  <si>
    <t>1.04.2.14</t>
  </si>
  <si>
    <t>Canal São Carlos</t>
  </si>
  <si>
    <t>1.04.2.9</t>
  </si>
  <si>
    <t>1.04.2.15</t>
  </si>
  <si>
    <t>Infraestrutura dos Loteamentos Santa Catarina e Guarujá - Bairro Soledade</t>
  </si>
  <si>
    <t>1.04.2.10</t>
  </si>
  <si>
    <t>Infraestrutura do Loteamento Paraíso do Sul - Bairro Santa Maria</t>
  </si>
  <si>
    <t>1.04.2.16</t>
  </si>
  <si>
    <t>Infraestrutura do Loteamento Joel Nascimento - Bairro Bugio</t>
  </si>
  <si>
    <t>1.04.2.11</t>
  </si>
  <si>
    <t>1.01.3</t>
  </si>
  <si>
    <t>1.04.2.17</t>
  </si>
  <si>
    <t>Recuperação da Pavimentação da Avenida Euclides Figueiredo</t>
  </si>
  <si>
    <t>Construção de 206 Unidades Habitacionais (Mangabeiras)</t>
  </si>
  <si>
    <t>Construção de 896 Unidades Habitacionais (Mangabeiras)</t>
  </si>
  <si>
    <t>1.03.1.9</t>
  </si>
  <si>
    <t>Infraestrutura Mangabeiras</t>
  </si>
  <si>
    <t>1.04.2.18</t>
  </si>
  <si>
    <t>1.04.2.19</t>
  </si>
  <si>
    <t>Infraestrutura da Avenida 12 de Outubro e Rua A no Bairro 18 do Forte</t>
  </si>
  <si>
    <t>Infraestrutura do Loteamento Expansão Siqueira Campos, Bairro 18 do Forte</t>
  </si>
  <si>
    <t>195.82,00</t>
  </si>
  <si>
    <t>Atualizado BID/UCP, em novembro 19</t>
  </si>
  <si>
    <t>Percentual do Período de 07/11/2019 a 31/12/2020 =</t>
  </si>
  <si>
    <t>÷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</si>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</sst>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(\$* #,##0.00_);_(\$* \(#,##0.00\);_(\$* \-??_);_(@_)"/>
    <numFmt numFmtId="167" formatCode="_-* #,##0_-;\-* #,##0_-;_-* &quot;-&quot;??_-;_-@_-"/>
    <numFmt numFmtId="168" formatCode="_-* #,##0.000_-;\-* #,##0.00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2A65AC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FF00"/>
      <name val="Calibri"/>
      <family val="2"/>
    </font>
    <font>
      <b/>
      <sz val="10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strike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  <font>
      <sz val="9"/>
      <color rgb="FFFF0000"/>
      <name val="Arial"/>
      <family val="2"/>
    </font>
    <font>
      <b/>
      <i/>
      <u/>
      <sz val="9"/>
      <name val="Calibri"/>
      <family val="2"/>
      <scheme val="minor"/>
    </font>
    <font>
      <strike/>
      <sz val="9"/>
      <name val="Calibri"/>
      <family val="2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4081D0"/>
        <bgColor indexed="64"/>
      </patternFill>
    </fill>
    <fill>
      <patternFill patternType="solid">
        <fgColor rgb="FFA9C6E9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dashed">
        <color theme="1" tint="0.499984740745262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dashed">
        <color theme="1" tint="0.4999847407452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499984740745262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dashed">
        <color theme="1" tint="0.499984740745262"/>
      </right>
      <top style="thin">
        <color indexed="9"/>
      </top>
      <bottom style="thin">
        <color indexed="9"/>
      </bottom>
      <diagonal/>
    </border>
  </borders>
  <cellStyleXfs count="7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0" fillId="0" borderId="0">
      <alignment vertical="center"/>
    </xf>
    <xf numFmtId="165" fontId="10" fillId="0" borderId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6" fillId="10" borderId="0" applyNumberFormat="0" applyBorder="0" applyAlignment="0" applyProtection="0"/>
    <xf numFmtId="0" fontId="17" fillId="27" borderId="7" applyNumberFormat="0" applyAlignment="0" applyProtection="0"/>
    <xf numFmtId="0" fontId="18" fillId="28" borderId="8" applyNumberFormat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4" borderId="7" applyNumberFormat="0" applyAlignment="0" applyProtection="0"/>
    <xf numFmtId="0" fontId="25" fillId="0" borderId="12" applyNumberFormat="0" applyFill="0" applyAlignment="0" applyProtection="0"/>
    <xf numFmtId="0" fontId="26" fillId="29" borderId="0" applyNumberFormat="0" applyBorder="0" applyAlignment="0" applyProtection="0"/>
    <xf numFmtId="0" fontId="9" fillId="30" borderId="13" applyNumberFormat="0" applyFont="0" applyAlignment="0" applyProtection="0"/>
    <xf numFmtId="0" fontId="27" fillId="27" borderId="14" applyNumberFormat="0" applyAlignment="0" applyProtection="0"/>
    <xf numFmtId="0" fontId="12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9" fontId="9" fillId="0" borderId="0" applyFill="0" applyBorder="0" applyAlignment="0" applyProtection="0"/>
    <xf numFmtId="166" fontId="9" fillId="0" borderId="0" applyFill="0" applyBorder="0" applyAlignment="0" applyProtection="0"/>
    <xf numFmtId="41" fontId="1" fillId="0" borderId="0" applyFont="0" applyFill="0" applyBorder="0" applyAlignment="0" applyProtection="0"/>
  </cellStyleXfs>
  <cellXfs count="316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Fill="1"/>
    <xf numFmtId="0" fontId="3" fillId="3" borderId="0" xfId="0" applyFont="1" applyFill="1" applyAlignment="1">
      <alignment horizont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0" fontId="31" fillId="3" borderId="0" xfId="0" applyFont="1" applyFill="1"/>
    <xf numFmtId="0" fontId="0" fillId="32" borderId="6" xfId="0" applyFill="1" applyBorder="1" applyAlignment="1">
      <alignment horizontal="left" vertical="center" wrapText="1"/>
    </xf>
    <xf numFmtId="3" fontId="0" fillId="32" borderId="6" xfId="0" applyNumberFormat="1" applyFill="1" applyBorder="1" applyAlignment="1">
      <alignment horizontal="center" vertical="center" wrapText="1"/>
    </xf>
    <xf numFmtId="0" fontId="0" fillId="32" borderId="6" xfId="0" applyNumberFormat="1" applyFill="1" applyBorder="1" applyAlignment="1">
      <alignment horizontal="center" vertical="center" wrapText="1"/>
    </xf>
    <xf numFmtId="0" fontId="28" fillId="0" borderId="0" xfId="0" applyFont="1" applyFill="1"/>
    <xf numFmtId="0" fontId="28" fillId="3" borderId="0" xfId="0" applyFon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2" fillId="0" borderId="0" xfId="0" applyFont="1" applyFill="1"/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/>
    <xf numFmtId="0" fontId="4" fillId="5" borderId="1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9" fontId="5" fillId="4" borderId="1" xfId="68" applyFont="1" applyFill="1" applyBorder="1" applyAlignment="1">
      <alignment horizontal="center" vertical="center" wrapText="1"/>
    </xf>
    <xf numFmtId="9" fontId="5" fillId="2" borderId="1" xfId="68" applyFont="1" applyFill="1" applyBorder="1" applyAlignment="1">
      <alignment horizontal="center" vertical="center" wrapText="1"/>
    </xf>
    <xf numFmtId="9" fontId="14" fillId="2" borderId="1" xfId="68" applyFont="1" applyFill="1" applyBorder="1" applyAlignment="1">
      <alignment horizontal="center" vertical="center" wrapText="1"/>
    </xf>
    <xf numFmtId="9" fontId="14" fillId="4" borderId="1" xfId="68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NumberFormat="1" applyFont="1" applyFill="1" applyBorder="1" applyAlignment="1">
      <alignment horizontal="left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3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34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35" fillId="3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9" fontId="5" fillId="4" borderId="6" xfId="68" applyFont="1" applyFill="1" applyBorder="1" applyAlignment="1">
      <alignment horizontal="center" vertical="center" wrapText="1"/>
    </xf>
    <xf numFmtId="9" fontId="5" fillId="2" borderId="6" xfId="68" applyFont="1" applyFill="1" applyBorder="1" applyAlignment="1">
      <alignment horizontal="center" vertical="center" wrapText="1"/>
    </xf>
    <xf numFmtId="0" fontId="36" fillId="33" borderId="16" xfId="0" applyNumberFormat="1" applyFont="1" applyFill="1" applyBorder="1" applyAlignment="1">
      <alignment horizontal="center" vertical="center" wrapText="1"/>
    </xf>
    <xf numFmtId="0" fontId="36" fillId="33" borderId="19" xfId="0" applyNumberFormat="1" applyFont="1" applyFill="1" applyBorder="1" applyAlignment="1">
      <alignment horizontal="center" vertical="center" wrapText="1"/>
    </xf>
    <xf numFmtId="3" fontId="37" fillId="5" borderId="5" xfId="0" applyNumberFormat="1" applyFont="1" applyFill="1" applyBorder="1" applyAlignment="1">
      <alignment horizontal="center" vertical="center" wrapText="1"/>
    </xf>
    <xf numFmtId="4" fontId="37" fillId="6" borderId="1" xfId="0" applyNumberFormat="1" applyFont="1" applyFill="1" applyBorder="1" applyAlignment="1">
      <alignment horizontal="center" vertical="center" wrapText="1"/>
    </xf>
    <xf numFmtId="4" fontId="37" fillId="8" borderId="4" xfId="0" applyNumberFormat="1" applyFont="1" applyFill="1" applyBorder="1" applyAlignment="1">
      <alignment horizontal="center" vertical="center" wrapText="1"/>
    </xf>
    <xf numFmtId="3" fontId="0" fillId="0" borderId="20" xfId="0" applyNumberFormat="1" applyBorder="1"/>
    <xf numFmtId="9" fontId="0" fillId="0" borderId="20" xfId="0" applyNumberFormat="1" applyBorder="1" applyAlignment="1">
      <alignment horizontal="center"/>
    </xf>
    <xf numFmtId="4" fontId="5" fillId="4" borderId="6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3" fontId="40" fillId="2" borderId="20" xfId="25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/>
    </xf>
    <xf numFmtId="43" fontId="40" fillId="2" borderId="20" xfId="2" applyFont="1" applyFill="1" applyBorder="1" applyAlignment="1">
      <alignment vertical="center"/>
    </xf>
    <xf numFmtId="43" fontId="40" fillId="2" borderId="20" xfId="2" applyFont="1" applyFill="1" applyBorder="1" applyAlignment="1">
      <alignment horizontal="right" vertical="center"/>
    </xf>
    <xf numFmtId="0" fontId="39" fillId="35" borderId="20" xfId="0" applyFont="1" applyFill="1" applyBorder="1" applyAlignment="1">
      <alignment vertical="center" wrapText="1"/>
    </xf>
    <xf numFmtId="167" fontId="39" fillId="35" borderId="20" xfId="2" applyNumberFormat="1" applyFont="1" applyFill="1" applyBorder="1" applyAlignment="1">
      <alignment vertical="center" wrapText="1"/>
    </xf>
    <xf numFmtId="43" fontId="41" fillId="36" borderId="20" xfId="2" applyFont="1" applyFill="1" applyBorder="1" applyAlignment="1">
      <alignment horizontal="left" vertical="center" wrapText="1" indent="1"/>
    </xf>
    <xf numFmtId="167" fontId="39" fillId="36" borderId="20" xfId="2" applyNumberFormat="1" applyFont="1" applyFill="1" applyBorder="1" applyAlignment="1">
      <alignment vertical="center" wrapText="1"/>
    </xf>
    <xf numFmtId="43" fontId="42" fillId="3" borderId="20" xfId="2" applyFont="1" applyFill="1" applyBorder="1" applyAlignment="1">
      <alignment horizontal="left" vertical="center" wrapText="1" indent="2"/>
    </xf>
    <xf numFmtId="167" fontId="43" fillId="3" borderId="20" xfId="2" applyNumberFormat="1" applyFont="1" applyFill="1" applyBorder="1" applyAlignment="1">
      <alignment vertical="center" wrapText="1"/>
    </xf>
    <xf numFmtId="167" fontId="39" fillId="3" borderId="20" xfId="2" applyNumberFormat="1" applyFont="1" applyFill="1" applyBorder="1" applyAlignment="1">
      <alignment vertical="center" wrapText="1"/>
    </xf>
    <xf numFmtId="167" fontId="44" fillId="3" borderId="20" xfId="2" applyNumberFormat="1" applyFont="1" applyFill="1" applyBorder="1" applyAlignment="1">
      <alignment vertical="center"/>
    </xf>
    <xf numFmtId="167" fontId="44" fillId="0" borderId="20" xfId="2" applyNumberFormat="1" applyFont="1" applyBorder="1" applyAlignment="1">
      <alignment vertical="center"/>
    </xf>
    <xf numFmtId="167" fontId="43" fillId="0" borderId="20" xfId="2" applyNumberFormat="1" applyFont="1" applyBorder="1"/>
    <xf numFmtId="43" fontId="43" fillId="3" borderId="20" xfId="2" applyFont="1" applyFill="1" applyBorder="1" applyAlignment="1">
      <alignment vertical="center" wrapText="1"/>
    </xf>
    <xf numFmtId="43" fontId="45" fillId="3" borderId="20" xfId="2" applyFont="1" applyFill="1" applyBorder="1" applyAlignment="1">
      <alignment horizontal="left" vertical="center" wrapText="1" indent="1"/>
    </xf>
    <xf numFmtId="167" fontId="45" fillId="3" borderId="20" xfId="2" applyNumberFormat="1" applyFont="1" applyFill="1" applyBorder="1" applyAlignment="1">
      <alignment vertical="center" wrapText="1"/>
    </xf>
    <xf numFmtId="167" fontId="46" fillId="3" borderId="20" xfId="2" applyNumberFormat="1" applyFont="1" applyFill="1" applyBorder="1" applyAlignment="1">
      <alignment vertical="center" wrapText="1"/>
    </xf>
    <xf numFmtId="167" fontId="45" fillId="0" borderId="20" xfId="2" applyNumberFormat="1" applyFont="1" applyBorder="1" applyAlignment="1">
      <alignment vertical="center" wrapText="1"/>
    </xf>
    <xf numFmtId="43" fontId="43" fillId="3" borderId="20" xfId="2" applyFont="1" applyFill="1" applyBorder="1" applyAlignment="1">
      <alignment horizontal="left" vertical="center" wrapText="1" indent="2"/>
    </xf>
    <xf numFmtId="167" fontId="43" fillId="3" borderId="0" xfId="2" applyNumberFormat="1" applyFont="1" applyFill="1" applyAlignment="1">
      <alignment vertical="center"/>
    </xf>
    <xf numFmtId="167" fontId="43" fillId="0" borderId="20" xfId="2" applyNumberFormat="1" applyFont="1" applyBorder="1" applyAlignment="1">
      <alignment vertical="center"/>
    </xf>
    <xf numFmtId="43" fontId="42" fillId="0" borderId="20" xfId="2" applyFont="1" applyBorder="1" applyAlignment="1">
      <alignment horizontal="left" vertical="center" wrapText="1" indent="1"/>
    </xf>
    <xf numFmtId="167" fontId="43" fillId="0" borderId="20" xfId="2" applyNumberFormat="1" applyFont="1" applyBorder="1" applyAlignment="1">
      <alignment vertical="center" wrapText="1"/>
    </xf>
    <xf numFmtId="167" fontId="39" fillId="0" borderId="20" xfId="2" applyNumberFormat="1" applyFont="1" applyBorder="1" applyAlignment="1">
      <alignment vertical="center" wrapText="1"/>
    </xf>
    <xf numFmtId="167" fontId="40" fillId="0" borderId="20" xfId="2" applyNumberFormat="1" applyFont="1" applyBorder="1" applyAlignment="1">
      <alignment vertical="center"/>
    </xf>
    <xf numFmtId="167" fontId="39" fillId="0" borderId="20" xfId="2" applyNumberFormat="1" applyFont="1" applyBorder="1"/>
    <xf numFmtId="43" fontId="43" fillId="3" borderId="20" xfId="2" applyFont="1" applyFill="1" applyBorder="1" applyAlignment="1">
      <alignment horizontal="left" vertical="center" wrapText="1" indent="1"/>
    </xf>
    <xf numFmtId="167" fontId="40" fillId="3" borderId="20" xfId="2" applyNumberFormat="1" applyFont="1" applyFill="1" applyBorder="1" applyAlignment="1">
      <alignment vertical="center"/>
    </xf>
    <xf numFmtId="0" fontId="42" fillId="0" borderId="20" xfId="0" applyFont="1" applyBorder="1" applyAlignment="1">
      <alignment vertical="center" wrapText="1"/>
    </xf>
    <xf numFmtId="43" fontId="47" fillId="37" borderId="20" xfId="2" applyFont="1" applyFill="1" applyBorder="1" applyAlignment="1">
      <alignment horizontal="left" vertical="center" wrapText="1" indent="2"/>
    </xf>
    <xf numFmtId="167" fontId="48" fillId="0" borderId="20" xfId="2" applyNumberFormat="1" applyFont="1" applyBorder="1" applyAlignment="1">
      <alignment vertical="center" wrapText="1"/>
    </xf>
    <xf numFmtId="167" fontId="44" fillId="3" borderId="20" xfId="2" applyNumberFormat="1" applyFont="1" applyFill="1" applyBorder="1" applyAlignment="1">
      <alignment horizontal="center" vertical="center"/>
    </xf>
    <xf numFmtId="167" fontId="43" fillId="3" borderId="20" xfId="2" applyNumberFormat="1" applyFont="1" applyFill="1" applyBorder="1"/>
    <xf numFmtId="43" fontId="41" fillId="38" borderId="20" xfId="2" applyFont="1" applyFill="1" applyBorder="1" applyAlignment="1">
      <alignment horizontal="left" vertical="center" wrapText="1" indent="1"/>
    </xf>
    <xf numFmtId="167" fontId="39" fillId="38" borderId="20" xfId="2" applyNumberFormat="1" applyFont="1" applyFill="1" applyBorder="1" applyAlignment="1">
      <alignment vertical="center" wrapText="1"/>
    </xf>
    <xf numFmtId="0" fontId="43" fillId="3" borderId="20" xfId="0" applyFont="1" applyFill="1" applyBorder="1" applyAlignment="1">
      <alignment horizontal="left" vertical="center" wrapText="1" indent="2"/>
    </xf>
    <xf numFmtId="41" fontId="39" fillId="3" borderId="20" xfId="0" applyNumberFormat="1" applyFont="1" applyFill="1" applyBorder="1" applyAlignment="1">
      <alignment horizontal="left" vertical="center" wrapText="1" indent="2"/>
    </xf>
    <xf numFmtId="167" fontId="49" fillId="0" borderId="20" xfId="2" applyNumberFormat="1" applyFont="1" applyBorder="1" applyAlignment="1">
      <alignment vertical="center" wrapText="1"/>
    </xf>
    <xf numFmtId="167" fontId="50" fillId="3" borderId="20" xfId="2" applyNumberFormat="1" applyFont="1" applyFill="1" applyBorder="1" applyAlignment="1">
      <alignment vertical="center"/>
    </xf>
    <xf numFmtId="164" fontId="50" fillId="3" borderId="20" xfId="2" applyNumberFormat="1" applyFont="1" applyFill="1" applyBorder="1" applyAlignment="1">
      <alignment vertical="center"/>
    </xf>
    <xf numFmtId="164" fontId="39" fillId="0" borderId="20" xfId="2" applyNumberFormat="1" applyFont="1" applyBorder="1"/>
    <xf numFmtId="167" fontId="47" fillId="0" borderId="20" xfId="2" applyNumberFormat="1" applyFont="1" applyBorder="1" applyAlignment="1">
      <alignment vertical="center" wrapText="1"/>
    </xf>
    <xf numFmtId="41" fontId="46" fillId="3" borderId="20" xfId="0" applyNumberFormat="1" applyFont="1" applyFill="1" applyBorder="1" applyAlignment="1">
      <alignment horizontal="left" vertical="center" wrapText="1" indent="2"/>
    </xf>
    <xf numFmtId="0" fontId="43" fillId="0" borderId="20" xfId="0" applyFont="1" applyBorder="1"/>
    <xf numFmtId="41" fontId="43" fillId="0" borderId="20" xfId="73" applyFont="1" applyBorder="1"/>
    <xf numFmtId="43" fontId="45" fillId="3" borderId="20" xfId="2" applyFont="1" applyFill="1" applyBorder="1" applyAlignment="1">
      <alignment horizontal="left" vertical="center" wrapText="1" indent="2"/>
    </xf>
    <xf numFmtId="167" fontId="50" fillId="0" borderId="20" xfId="2" applyNumberFormat="1" applyFont="1" applyBorder="1" applyAlignment="1">
      <alignment vertical="center"/>
    </xf>
    <xf numFmtId="43" fontId="51" fillId="36" borderId="20" xfId="2" applyFont="1" applyFill="1" applyBorder="1" applyAlignment="1">
      <alignment horizontal="left" vertical="center" wrapText="1" indent="1"/>
    </xf>
    <xf numFmtId="167" fontId="40" fillId="38" borderId="20" xfId="2" applyNumberFormat="1" applyFont="1" applyFill="1" applyBorder="1" applyAlignment="1">
      <alignment vertical="center"/>
    </xf>
    <xf numFmtId="167" fontId="43" fillId="3" borderId="20" xfId="2" applyNumberFormat="1" applyFont="1" applyFill="1" applyBorder="1" applyAlignment="1">
      <alignment vertical="center"/>
    </xf>
    <xf numFmtId="0" fontId="47" fillId="39" borderId="20" xfId="0" applyFont="1" applyFill="1" applyBorder="1" applyAlignment="1">
      <alignment horizontal="left" vertical="center" indent="2"/>
    </xf>
    <xf numFmtId="41" fontId="45" fillId="0" borderId="26" xfId="73" applyFont="1" applyBorder="1" applyAlignment="1">
      <alignment horizontal="center" vertical="center"/>
    </xf>
    <xf numFmtId="167" fontId="45" fillId="3" borderId="26" xfId="2" applyNumberFormat="1" applyFont="1" applyFill="1" applyBorder="1" applyAlignment="1">
      <alignment vertical="center" wrapText="1"/>
    </xf>
    <xf numFmtId="0" fontId="42" fillId="3" borderId="20" xfId="0" applyFont="1" applyFill="1" applyBorder="1" applyAlignment="1">
      <alignment vertical="center" wrapText="1"/>
    </xf>
    <xf numFmtId="167" fontId="43" fillId="0" borderId="26" xfId="2" applyNumberFormat="1" applyFont="1" applyBorder="1" applyAlignment="1">
      <alignment vertical="center" wrapText="1"/>
    </xf>
    <xf numFmtId="43" fontId="47" fillId="37" borderId="20" xfId="2" applyFont="1" applyFill="1" applyBorder="1" applyAlignment="1">
      <alignment horizontal="left" vertical="center" indent="2"/>
    </xf>
    <xf numFmtId="167" fontId="45" fillId="3" borderId="20" xfId="2" applyNumberFormat="1" applyFont="1" applyFill="1" applyBorder="1" applyAlignment="1">
      <alignment vertical="center"/>
    </xf>
    <xf numFmtId="43" fontId="52" fillId="37" borderId="20" xfId="2" applyFont="1" applyFill="1" applyBorder="1" applyAlignment="1">
      <alignment horizontal="left" vertical="center" indent="2"/>
    </xf>
    <xf numFmtId="43" fontId="43" fillId="3" borderId="20" xfId="2" applyFont="1" applyFill="1" applyBorder="1" applyAlignment="1">
      <alignment horizontal="left" vertical="center" indent="2"/>
    </xf>
    <xf numFmtId="164" fontId="44" fillId="0" borderId="20" xfId="2" applyNumberFormat="1" applyFont="1" applyBorder="1" applyAlignment="1">
      <alignment vertical="center"/>
    </xf>
    <xf numFmtId="0" fontId="43" fillId="3" borderId="20" xfId="0" applyFont="1" applyFill="1" applyBorder="1" applyAlignment="1">
      <alignment horizontal="left" vertical="center" indent="2"/>
    </xf>
    <xf numFmtId="43" fontId="39" fillId="0" borderId="20" xfId="2" applyFont="1" applyBorder="1" applyAlignment="1">
      <alignment horizontal="left" vertical="center" wrapText="1" indent="1"/>
    </xf>
    <xf numFmtId="43" fontId="39" fillId="3" borderId="20" xfId="2" applyFont="1" applyFill="1" applyBorder="1" applyAlignment="1">
      <alignment horizontal="left" vertical="center" wrapText="1" indent="1"/>
    </xf>
    <xf numFmtId="167" fontId="53" fillId="3" borderId="20" xfId="2" applyNumberFormat="1" applyFont="1" applyFill="1" applyBorder="1" applyAlignment="1">
      <alignment vertical="center" wrapText="1"/>
    </xf>
    <xf numFmtId="43" fontId="43" fillId="0" borderId="20" xfId="2" applyFont="1" applyBorder="1" applyAlignment="1">
      <alignment vertical="center" wrapText="1"/>
    </xf>
    <xf numFmtId="43" fontId="39" fillId="3" borderId="20" xfId="2" applyFont="1" applyFill="1" applyBorder="1" applyAlignment="1">
      <alignment vertical="center" wrapText="1"/>
    </xf>
    <xf numFmtId="43" fontId="39" fillId="0" borderId="20" xfId="2" applyFont="1" applyBorder="1" applyAlignment="1">
      <alignment vertical="center" wrapText="1"/>
    </xf>
    <xf numFmtId="167" fontId="39" fillId="3" borderId="20" xfId="2" applyNumberFormat="1" applyFont="1" applyFill="1" applyBorder="1"/>
    <xf numFmtId="43" fontId="39" fillId="36" borderId="20" xfId="2" applyFont="1" applyFill="1" applyBorder="1" applyAlignment="1">
      <alignment vertical="center" wrapText="1"/>
    </xf>
    <xf numFmtId="0" fontId="39" fillId="3" borderId="20" xfId="0" applyFont="1" applyFill="1" applyBorder="1"/>
    <xf numFmtId="167" fontId="40" fillId="3" borderId="20" xfId="2" applyNumberFormat="1" applyFont="1" applyFill="1" applyBorder="1" applyAlignment="1">
      <alignment horizontal="center" vertical="center"/>
    </xf>
    <xf numFmtId="0" fontId="43" fillId="3" borderId="20" xfId="0" applyFont="1" applyFill="1" applyBorder="1"/>
    <xf numFmtId="167" fontId="43" fillId="3" borderId="20" xfId="2" quotePrefix="1" applyNumberFormat="1" applyFont="1" applyFill="1" applyBorder="1"/>
    <xf numFmtId="43" fontId="39" fillId="35" borderId="20" xfId="2" applyFont="1" applyFill="1" applyBorder="1" applyAlignment="1">
      <alignment vertical="center" wrapText="1"/>
    </xf>
    <xf numFmtId="43" fontId="43" fillId="0" borderId="20" xfId="2" applyFont="1" applyBorder="1" applyAlignment="1">
      <alignment horizontal="left" vertical="center" wrapText="1" indent="1"/>
    </xf>
    <xf numFmtId="167" fontId="43" fillId="0" borderId="20" xfId="2" applyNumberFormat="1" applyFont="1" applyBorder="1" applyAlignment="1">
      <alignment horizontal="right" vertical="center" wrapText="1"/>
    </xf>
    <xf numFmtId="43" fontId="47" fillId="37" borderId="20" xfId="2" applyFont="1" applyFill="1" applyBorder="1" applyAlignment="1">
      <alignment horizontal="left" vertical="center" wrapText="1" indent="1"/>
    </xf>
    <xf numFmtId="41" fontId="45" fillId="0" borderId="20" xfId="73" applyFont="1" applyBorder="1" applyAlignment="1">
      <alignment vertical="center"/>
    </xf>
    <xf numFmtId="167" fontId="39" fillId="0" borderId="20" xfId="2" applyNumberFormat="1" applyFont="1" applyBorder="1" applyAlignment="1">
      <alignment horizontal="right" vertical="center" wrapText="1"/>
    </xf>
    <xf numFmtId="0" fontId="39" fillId="31" borderId="20" xfId="0" applyFont="1" applyFill="1" applyBorder="1"/>
    <xf numFmtId="167" fontId="39" fillId="31" borderId="20" xfId="0" applyNumberFormat="1" applyFont="1" applyFill="1" applyBorder="1"/>
    <xf numFmtId="0" fontId="54" fillId="0" borderId="0" xfId="0" applyFont="1"/>
    <xf numFmtId="41" fontId="55" fillId="0" borderId="0" xfId="73" applyFont="1"/>
    <xf numFmtId="41" fontId="55" fillId="0" borderId="0" xfId="0" applyNumberFormat="1" applyFont="1"/>
    <xf numFmtId="168" fontId="44" fillId="0" borderId="20" xfId="2" applyNumberFormat="1" applyFont="1" applyBorder="1" applyAlignment="1">
      <alignment vertical="center"/>
    </xf>
    <xf numFmtId="43" fontId="43" fillId="0" borderId="20" xfId="2" applyFont="1" applyBorder="1"/>
    <xf numFmtId="0" fontId="43" fillId="0" borderId="0" xfId="0" applyFont="1"/>
    <xf numFmtId="167" fontId="43" fillId="0" borderId="0" xfId="0" applyNumberFormat="1" applyFont="1"/>
    <xf numFmtId="41" fontId="0" fillId="0" borderId="0" xfId="73" applyFont="1"/>
    <xf numFmtId="0" fontId="39" fillId="0" borderId="0" xfId="0" applyFont="1"/>
    <xf numFmtId="43" fontId="43" fillId="0" borderId="20" xfId="2" applyFont="1" applyBorder="1" applyAlignment="1">
      <alignment horizontal="center" vertical="center"/>
    </xf>
    <xf numFmtId="9" fontId="39" fillId="0" borderId="20" xfId="68" applyFont="1" applyBorder="1" applyAlignment="1">
      <alignment horizontal="center" vertical="center"/>
    </xf>
    <xf numFmtId="167" fontId="39" fillId="0" borderId="20" xfId="2" applyNumberFormat="1" applyFont="1" applyBorder="1" applyAlignment="1">
      <alignment horizontal="center" vertical="center"/>
    </xf>
    <xf numFmtId="0" fontId="39" fillId="0" borderId="20" xfId="0" applyFont="1" applyBorder="1"/>
    <xf numFmtId="43" fontId="43" fillId="0" borderId="0" xfId="0" applyNumberFormat="1" applyFont="1"/>
    <xf numFmtId="0" fontId="39" fillId="0" borderId="20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167" fontId="43" fillId="0" borderId="20" xfId="0" applyNumberFormat="1" applyFont="1" applyBorder="1" applyAlignment="1">
      <alignment horizontal="center" vertical="center"/>
    </xf>
    <xf numFmtId="9" fontId="43" fillId="0" borderId="20" xfId="68" applyFont="1" applyBorder="1" applyAlignment="1">
      <alignment horizontal="center" vertical="center"/>
    </xf>
    <xf numFmtId="9" fontId="43" fillId="0" borderId="20" xfId="0" applyNumberFormat="1" applyFont="1" applyBorder="1" applyAlignment="1">
      <alignment horizontal="center" vertical="center"/>
    </xf>
    <xf numFmtId="9" fontId="43" fillId="0" borderId="20" xfId="0" applyNumberFormat="1" applyFont="1" applyBorder="1" applyAlignment="1">
      <alignment horizontal="center"/>
    </xf>
    <xf numFmtId="168" fontId="39" fillId="2" borderId="20" xfId="2" applyNumberFormat="1" applyFont="1" applyFill="1" applyBorder="1" applyAlignment="1">
      <alignment horizontal="center" vertical="center"/>
    </xf>
    <xf numFmtId="168" fontId="39" fillId="2" borderId="20" xfId="2" applyNumberFormat="1" applyFont="1" applyFill="1" applyBorder="1" applyAlignment="1">
      <alignment horizontal="center"/>
    </xf>
    <xf numFmtId="168" fontId="39" fillId="2" borderId="20" xfId="2" applyNumberFormat="1" applyFont="1" applyFill="1" applyBorder="1" applyAlignment="1">
      <alignment vertical="center"/>
    </xf>
    <xf numFmtId="168" fontId="39" fillId="2" borderId="20" xfId="2" applyNumberFormat="1" applyFont="1" applyFill="1" applyBorder="1" applyAlignment="1">
      <alignment horizontal="right" vertical="center"/>
    </xf>
    <xf numFmtId="43" fontId="45" fillId="3" borderId="20" xfId="2" applyFont="1" applyFill="1" applyBorder="1" applyAlignment="1">
      <alignment vertical="center" wrapText="1"/>
    </xf>
    <xf numFmtId="43" fontId="43" fillId="40" borderId="20" xfId="2" applyFont="1" applyFill="1" applyBorder="1" applyAlignment="1">
      <alignment horizontal="left" vertical="center" wrapText="1" indent="2"/>
    </xf>
    <xf numFmtId="41" fontId="45" fillId="0" borderId="20" xfId="73" applyFont="1" applyBorder="1" applyAlignment="1">
      <alignment horizontal="center" vertical="center"/>
    </xf>
    <xf numFmtId="43" fontId="56" fillId="41" borderId="20" xfId="2" applyFont="1" applyFill="1" applyBorder="1" applyAlignment="1">
      <alignment horizontal="left" vertical="center" wrapText="1" indent="2"/>
    </xf>
    <xf numFmtId="167" fontId="43" fillId="3" borderId="26" xfId="2" applyNumberFormat="1" applyFont="1" applyFill="1" applyBorder="1" applyAlignment="1">
      <alignment vertical="center" wrapText="1"/>
    </xf>
    <xf numFmtId="167" fontId="39" fillId="31" borderId="20" xfId="2" applyNumberFormat="1" applyFont="1" applyFill="1" applyBorder="1" applyAlignment="1">
      <alignment vertical="center" wrapText="1"/>
    </xf>
    <xf numFmtId="168" fontId="1" fillId="0" borderId="0" xfId="2" applyNumberFormat="1"/>
    <xf numFmtId="43" fontId="41" fillId="36" borderId="20" xfId="2" applyFont="1" applyFill="1" applyBorder="1" applyAlignment="1">
      <alignment vertical="center" wrapText="1"/>
    </xf>
    <xf numFmtId="43" fontId="43" fillId="3" borderId="20" xfId="2" applyFont="1" applyFill="1" applyBorder="1" applyAlignment="1">
      <alignment horizontal="left" vertical="center" wrapText="1"/>
    </xf>
    <xf numFmtId="43" fontId="41" fillId="38" borderId="20" xfId="2" applyFont="1" applyFill="1" applyBorder="1" applyAlignment="1">
      <alignment vertical="center" wrapText="1"/>
    </xf>
    <xf numFmtId="43" fontId="51" fillId="36" borderId="20" xfId="2" applyFont="1" applyFill="1" applyBorder="1" applyAlignment="1">
      <alignment vertical="center" wrapText="1"/>
    </xf>
    <xf numFmtId="43" fontId="42" fillId="3" borderId="20" xfId="2" applyFont="1" applyFill="1" applyBorder="1" applyAlignment="1">
      <alignment vertical="center" wrapText="1"/>
    </xf>
    <xf numFmtId="0" fontId="47" fillId="39" borderId="20" xfId="0" applyFont="1" applyFill="1" applyBorder="1" applyAlignment="1">
      <alignment vertical="center"/>
    </xf>
    <xf numFmtId="43" fontId="56" fillId="0" borderId="20" xfId="2" applyFont="1" applyBorder="1" applyAlignment="1">
      <alignment vertical="center" wrapText="1"/>
    </xf>
    <xf numFmtId="43" fontId="43" fillId="3" borderId="20" xfId="2" applyFont="1" applyFill="1" applyBorder="1" applyAlignment="1">
      <alignment vertical="center"/>
    </xf>
    <xf numFmtId="43" fontId="47" fillId="37" borderId="20" xfId="2" applyFont="1" applyFill="1" applyBorder="1" applyAlignment="1">
      <alignment vertical="center" wrapText="1"/>
    </xf>
    <xf numFmtId="168" fontId="39" fillId="42" borderId="20" xfId="2" applyNumberFormat="1" applyFont="1" applyFill="1" applyBorder="1" applyAlignment="1">
      <alignment horizontal="center" vertical="center"/>
    </xf>
    <xf numFmtId="0" fontId="39" fillId="43" borderId="20" xfId="0" applyFont="1" applyFill="1" applyBorder="1" applyAlignment="1">
      <alignment vertical="center" wrapText="1"/>
    </xf>
    <xf numFmtId="43" fontId="43" fillId="43" borderId="20" xfId="2" applyFont="1" applyFill="1" applyBorder="1" applyAlignment="1">
      <alignment horizontal="left" vertical="center" wrapText="1" indent="2"/>
    </xf>
    <xf numFmtId="0" fontId="47" fillId="44" borderId="20" xfId="0" applyFont="1" applyFill="1" applyBorder="1" applyAlignment="1">
      <alignment horizontal="left" vertical="center" indent="2"/>
    </xf>
    <xf numFmtId="43" fontId="43" fillId="43" borderId="20" xfId="2" applyFont="1" applyFill="1" applyBorder="1" applyAlignment="1">
      <alignment vertical="center" wrapText="1"/>
    </xf>
    <xf numFmtId="43" fontId="43" fillId="31" borderId="20" xfId="2" applyFont="1" applyFill="1" applyBorder="1" applyAlignment="1">
      <alignment vertical="center" wrapText="1"/>
    </xf>
    <xf numFmtId="43" fontId="45" fillId="31" borderId="20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7" borderId="28" xfId="0" applyNumberFormat="1" applyFont="1" applyFill="1" applyBorder="1" applyAlignment="1">
      <alignment horizontal="center" vertical="center" wrapText="1"/>
    </xf>
    <xf numFmtId="4" fontId="7" fillId="6" borderId="28" xfId="0" applyNumberFormat="1" applyFont="1" applyFill="1" applyBorder="1" applyAlignment="1">
      <alignment horizontal="center" vertical="center" wrapText="1"/>
    </xf>
    <xf numFmtId="4" fontId="7" fillId="8" borderId="28" xfId="0" applyNumberFormat="1" applyFont="1" applyFill="1" applyBorder="1" applyAlignment="1">
      <alignment horizontal="center" vertical="center" wrapText="1"/>
    </xf>
    <xf numFmtId="4" fontId="37" fillId="6" borderId="2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3" borderId="0" xfId="0" applyFill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31" fillId="3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0" xfId="2" applyFont="1" applyFill="1" applyBorder="1" applyAlignment="1">
      <alignment horizontal="left" vertical="center"/>
    </xf>
    <xf numFmtId="4" fontId="5" fillId="2" borderId="2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7" fillId="6" borderId="29" xfId="0" applyNumberFormat="1" applyFont="1" applyFill="1" applyBorder="1" applyAlignment="1">
      <alignment horizontal="center" vertical="center" wrapText="1"/>
    </xf>
    <xf numFmtId="4" fontId="5" fillId="7" borderId="29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33" fillId="4" borderId="2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4" fontId="7" fillId="8" borderId="2" xfId="0" applyNumberFormat="1" applyFont="1" applyFill="1" applyBorder="1" applyAlignment="1">
      <alignment horizontal="center" vertical="center" wrapText="1"/>
    </xf>
    <xf numFmtId="4" fontId="14" fillId="7" borderId="28" xfId="0" applyNumberFormat="1" applyFont="1" applyFill="1" applyBorder="1" applyAlignment="1">
      <alignment horizontal="center" vertical="center" wrapText="1"/>
    </xf>
    <xf numFmtId="4" fontId="33" fillId="4" borderId="28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168" fontId="39" fillId="42" borderId="20" xfId="2" applyNumberFormat="1" applyFont="1" applyFill="1" applyBorder="1" applyAlignment="1">
      <alignment horizontal="center" vertical="center"/>
    </xf>
    <xf numFmtId="0" fontId="39" fillId="0" borderId="23" xfId="0" applyFont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8" fontId="43" fillId="42" borderId="22" xfId="0" applyNumberFormat="1" applyFont="1" applyFill="1" applyBorder="1" applyAlignment="1">
      <alignment horizontal="center" wrapText="1"/>
    </xf>
    <xf numFmtId="168" fontId="39" fillId="2" borderId="20" xfId="2" applyNumberFormat="1" applyFont="1" applyFill="1" applyBorder="1" applyAlignment="1">
      <alignment horizontal="center" vertical="center"/>
    </xf>
    <xf numFmtId="168" fontId="39" fillId="34" borderId="20" xfId="2" applyNumberFormat="1" applyFont="1" applyFill="1" applyBorder="1" applyAlignment="1">
      <alignment horizontal="center" vertical="center"/>
    </xf>
    <xf numFmtId="8" fontId="43" fillId="31" borderId="22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5" fillId="32" borderId="3" xfId="0" applyNumberFormat="1" applyFont="1" applyFill="1" applyBorder="1" applyAlignment="1">
      <alignment horizontal="left" vertical="top" wrapText="1"/>
    </xf>
    <xf numFmtId="3" fontId="35" fillId="32" borderId="21" xfId="0" applyNumberFormat="1" applyFont="1" applyFill="1" applyBorder="1" applyAlignment="1">
      <alignment horizontal="left" vertical="top" wrapText="1"/>
    </xf>
    <xf numFmtId="3" fontId="35" fillId="32" borderId="2" xfId="0" applyNumberFormat="1" applyFont="1" applyFill="1" applyBorder="1" applyAlignment="1">
      <alignment horizontal="left" vertical="top" wrapText="1"/>
    </xf>
    <xf numFmtId="0" fontId="39" fillId="0" borderId="23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3" fontId="40" fillId="2" borderId="20" xfId="25" applyNumberFormat="1" applyFont="1" applyFill="1" applyBorder="1" applyAlignment="1">
      <alignment horizontal="center" vertical="center"/>
    </xf>
    <xf numFmtId="3" fontId="40" fillId="34" borderId="20" xfId="25" applyNumberFormat="1" applyFont="1" applyFill="1" applyBorder="1" applyAlignment="1">
      <alignment horizontal="center" vertical="center"/>
    </xf>
    <xf numFmtId="8" fontId="39" fillId="31" borderId="22" xfId="0" applyNumberFormat="1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vertical="center"/>
    </xf>
    <xf numFmtId="0" fontId="57" fillId="40" borderId="3" xfId="0" applyFont="1" applyFill="1" applyBorder="1" applyAlignment="1">
      <alignment horizontal="left" vertical="center" wrapText="1"/>
    </xf>
    <xf numFmtId="0" fontId="57" fillId="40" borderId="21" xfId="0" applyFont="1" applyFill="1" applyBorder="1" applyAlignment="1">
      <alignment horizontal="left" vertical="center" wrapText="1"/>
    </xf>
    <xf numFmtId="0" fontId="57" fillId="40" borderId="2" xfId="0" applyFont="1" applyFill="1" applyBorder="1" applyAlignment="1">
      <alignment horizontal="left" vertical="center" wrapText="1"/>
    </xf>
    <xf numFmtId="0" fontId="57" fillId="40" borderId="6" xfId="0" applyFont="1" applyFill="1" applyBorder="1" applyAlignment="1">
      <alignment horizontal="center" vertical="center" wrapText="1"/>
    </xf>
    <xf numFmtId="3" fontId="57" fillId="40" borderId="6" xfId="0" applyNumberFormat="1" applyFont="1" applyFill="1" applyBorder="1" applyAlignment="1">
      <alignment horizontal="center" vertical="center" wrapText="1"/>
    </xf>
    <xf numFmtId="3" fontId="59" fillId="40" borderId="6" xfId="0" applyNumberFormat="1" applyFont="1" applyFill="1" applyBorder="1" applyAlignment="1">
      <alignment horizontal="center" vertical="center" wrapText="1"/>
    </xf>
    <xf numFmtId="3" fontId="57" fillId="0" borderId="6" xfId="0" applyNumberFormat="1" applyFont="1" applyFill="1" applyBorder="1" applyAlignment="1">
      <alignment horizontal="center" vertical="center" wrapText="1"/>
    </xf>
    <xf numFmtId="0" fontId="58" fillId="0" borderId="0" xfId="0" applyFont="1" applyFill="1" applyAlignment="1">
      <alignment vertical="center" wrapText="1"/>
    </xf>
    <xf numFmtId="3" fontId="59" fillId="0" borderId="6" xfId="0" applyNumberFormat="1" applyFont="1" applyFill="1" applyBorder="1" applyAlignment="1">
      <alignment horizontal="center" vertical="center" wrapText="1"/>
    </xf>
    <xf numFmtId="10" fontId="57" fillId="0" borderId="6" xfId="0" applyNumberFormat="1" applyFont="1" applyFill="1" applyBorder="1" applyAlignment="1">
      <alignment horizontal="center" vertical="center" wrapText="1"/>
    </xf>
    <xf numFmtId="167" fontId="58" fillId="40" borderId="0" xfId="0" applyNumberFormat="1" applyFont="1" applyFill="1" applyAlignment="1">
      <alignment vertical="center" wrapText="1"/>
    </xf>
    <xf numFmtId="3" fontId="57" fillId="40" borderId="6" xfId="0" applyNumberFormat="1" applyFont="1" applyFill="1" applyBorder="1" applyAlignment="1">
      <alignment horizontal="right" vertical="center" wrapText="1"/>
    </xf>
    <xf numFmtId="10" fontId="57" fillId="40" borderId="6" xfId="0" applyNumberFormat="1" applyFont="1" applyFill="1" applyBorder="1" applyAlignment="1">
      <alignment horizontal="right" vertical="center" wrapText="1"/>
    </xf>
  </cellXfs>
  <cellStyles count="74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[0] 2" xfId="73" xr:uid="{00000000-0005-0000-0000-00001B000000}"/>
    <cellStyle name="Comma 2" xfId="2" xr:uid="{00000000-0005-0000-0000-00001C000000}"/>
    <cellStyle name="Comma 3" xfId="70" xr:uid="{00000000-0005-0000-0000-00001D000000}"/>
    <cellStyle name="Currency 2" xfId="1" xr:uid="{00000000-0005-0000-0000-00001E000000}"/>
    <cellStyle name="Currency 3" xfId="7" xr:uid="{00000000-0005-0000-0000-00001F000000}"/>
    <cellStyle name="Explanatory Text 2" xfId="54" xr:uid="{00000000-0005-0000-0000-000020000000}"/>
    <cellStyle name="Good 2" xfId="55" xr:uid="{00000000-0005-0000-0000-000021000000}"/>
    <cellStyle name="Heading 1 2" xfId="56" xr:uid="{00000000-0005-0000-0000-000022000000}"/>
    <cellStyle name="Heading 2 2" xfId="57" xr:uid="{00000000-0005-0000-0000-000023000000}"/>
    <cellStyle name="Heading 3 2" xfId="58" xr:uid="{00000000-0005-0000-0000-000024000000}"/>
    <cellStyle name="Heading 4 2" xfId="59" xr:uid="{00000000-0005-0000-0000-000025000000}"/>
    <cellStyle name="Input 2" xfId="60" xr:uid="{00000000-0005-0000-0000-000026000000}"/>
    <cellStyle name="Linked Cell 2" xfId="61" xr:uid="{00000000-0005-0000-0000-000027000000}"/>
    <cellStyle name="Millares 2" xfId="69" xr:uid="{00000000-0005-0000-0000-000028000000}"/>
    <cellStyle name="Moneda 2" xfId="72" xr:uid="{00000000-0005-0000-0000-000029000000}"/>
    <cellStyle name="Neutral 2" xfId="62" xr:uid="{00000000-0005-0000-0000-00002A000000}"/>
    <cellStyle name="Normal" xfId="0" builtinId="0"/>
    <cellStyle name="Normal 2" xfId="4" xr:uid="{00000000-0005-0000-0000-00002C000000}"/>
    <cellStyle name="Normal 2 2" xfId="9" xr:uid="{00000000-0005-0000-0000-00002D000000}"/>
    <cellStyle name="Normal 2 2 2" xfId="25" xr:uid="{00000000-0005-0000-0000-00002E000000}"/>
    <cellStyle name="Normal 2 3" xfId="24" xr:uid="{00000000-0005-0000-0000-00002F000000}"/>
    <cellStyle name="Normal 3" xfId="10" xr:uid="{00000000-0005-0000-0000-000030000000}"/>
    <cellStyle name="Normal 3 2" xfId="11" xr:uid="{00000000-0005-0000-0000-000031000000}"/>
    <cellStyle name="Normal 3 3" xfId="12" xr:uid="{00000000-0005-0000-0000-000032000000}"/>
    <cellStyle name="Normal 3 4" xfId="26" xr:uid="{00000000-0005-0000-0000-000033000000}"/>
    <cellStyle name="Normal 4" xfId="13" xr:uid="{00000000-0005-0000-0000-000034000000}"/>
    <cellStyle name="Normal 4 2" xfId="14" xr:uid="{00000000-0005-0000-0000-000035000000}"/>
    <cellStyle name="Normal 4 3" xfId="15" xr:uid="{00000000-0005-0000-0000-000036000000}"/>
    <cellStyle name="Normal 5" xfId="16" xr:uid="{00000000-0005-0000-0000-000037000000}"/>
    <cellStyle name="Normal 5 2" xfId="17" xr:uid="{00000000-0005-0000-0000-000038000000}"/>
    <cellStyle name="Normal 5 3" xfId="18" xr:uid="{00000000-0005-0000-0000-000039000000}"/>
    <cellStyle name="Normal 6" xfId="19" xr:uid="{00000000-0005-0000-0000-00003A000000}"/>
    <cellStyle name="Normal 7" xfId="20" xr:uid="{00000000-0005-0000-0000-00003B000000}"/>
    <cellStyle name="Normal 8" xfId="22" xr:uid="{00000000-0005-0000-0000-00003C000000}"/>
    <cellStyle name="Normal 9" xfId="3" xr:uid="{00000000-0005-0000-0000-00003D000000}"/>
    <cellStyle name="Note 2" xfId="63" xr:uid="{00000000-0005-0000-0000-00003E000000}"/>
    <cellStyle name="Output 2" xfId="64" xr:uid="{00000000-0005-0000-0000-00003F000000}"/>
    <cellStyle name="Percent 2" xfId="6" xr:uid="{00000000-0005-0000-0000-000040000000}"/>
    <cellStyle name="Porcentagem" xfId="68" builtinId="5"/>
    <cellStyle name="Porcentagem 2" xfId="5" xr:uid="{00000000-0005-0000-0000-000042000000}"/>
    <cellStyle name="Porcentual 2" xfId="71" xr:uid="{00000000-0005-0000-0000-000043000000}"/>
    <cellStyle name="Separador de milhares 2" xfId="8" xr:uid="{00000000-0005-0000-0000-000044000000}"/>
    <cellStyle name="Title 2" xfId="65" xr:uid="{00000000-0005-0000-0000-000045000000}"/>
    <cellStyle name="Título 5" xfId="21" xr:uid="{00000000-0005-0000-0000-000046000000}"/>
    <cellStyle name="Total 2" xfId="66" xr:uid="{00000000-0005-0000-0000-000047000000}"/>
    <cellStyle name="Vírgula 2" xfId="23" xr:uid="{00000000-0005-0000-0000-000048000000}"/>
    <cellStyle name="Warning Text 2" xfId="67" xr:uid="{00000000-0005-0000-0000-000049000000}"/>
  </cellStyles>
  <dxfs count="0"/>
  <tableStyles count="0" defaultTableStyle="TableStyleMedium2"/>
  <colors>
    <mruColors>
      <color rgb="FFF5F5F5"/>
      <color rgb="FFFF6600"/>
      <color rgb="FF2A65AC"/>
      <color rgb="FF2F70BF"/>
      <color rgb="FF4081D0"/>
      <color rgb="FFA9C6E9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ATA.IDB/My%20Documents/Work%20in%20Progress/Brazil%20General/Models%20-%20Bank%20Templates/Planning_tools_SG_supervision_v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SPEZIALI\Dropbox\BID%20PARANACIDADES\2014\POA\Plan_Operacional_Anual-POA-PPUIII_14_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bg-my.sharepoint.com/personal/danielado_iadb_org/Documents/HUD/Jason/BR-L1411%20-%20Aracaju%20II/POA%202018-Cronograma%20set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bg-my.sharepoint.com/personal/danielado_iadb_org/Documents/HUD/Jason/BR-L1411%20-%20Aracaju%20II/PEP-POA%202018-Cronograma%20ago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P"/>
      <sheetName val="Procurement Plan (By Component)"/>
      <sheetName val="Procurement Plan (By proctype)"/>
      <sheetName val="Financial plan (Disbursements)"/>
      <sheetName val="Sheet2"/>
      <sheetName val="Sheet1"/>
    </sheetNames>
    <sheetDataSet>
      <sheetData sheetId="0"/>
      <sheetData sheetId="1" refreshError="1"/>
      <sheetData sheetId="2" refreshError="1"/>
      <sheetData sheetId="3">
        <row r="7">
          <cell r="AX7" t="str">
            <v>Programmed</v>
          </cell>
        </row>
        <row r="8">
          <cell r="AX8" t="str">
            <v>Signed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EXECUÇÃO"/>
      <sheetName val="POA 18 meses"/>
      <sheetName val="POA"/>
    </sheetNames>
    <sheetDataSet>
      <sheetData sheetId="0" refreshError="1">
        <row r="4">
          <cell r="E4" t="str">
            <v>Total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ção Dólar Fechada (US$)"/>
      <sheetName val="Simulação Real Fechada"/>
      <sheetName val="Simulação Real Aberta"/>
    </sheetNames>
    <sheetDataSet>
      <sheetData sheetId="0">
        <row r="1">
          <cell r="A1">
            <v>3.4</v>
          </cell>
        </row>
      </sheetData>
      <sheetData sheetId="1">
        <row r="4">
          <cell r="B4">
            <v>71179436.229999989</v>
          </cell>
          <cell r="C4">
            <v>248484999.69799998</v>
          </cell>
          <cell r="D4">
            <v>319664435.92799997</v>
          </cell>
          <cell r="N4">
            <v>41907217.480000004</v>
          </cell>
          <cell r="O4">
            <v>99076811.277999997</v>
          </cell>
          <cell r="X4">
            <v>22503700.740000002</v>
          </cell>
          <cell r="Y4">
            <v>51076883.57</v>
          </cell>
          <cell r="AH4">
            <v>6018518.8799999999</v>
          </cell>
          <cell r="AI4">
            <v>98331304.849999994</v>
          </cell>
          <cell r="AR4">
            <v>400000</v>
          </cell>
          <cell r="AS4">
            <v>0</v>
          </cell>
          <cell r="BB4">
            <v>350000</v>
          </cell>
          <cell r="BC4">
            <v>0</v>
          </cell>
          <cell r="BD4">
            <v>71179436.099999994</v>
          </cell>
          <cell r="BE4">
            <v>248484999.69799998</v>
          </cell>
          <cell r="BF4">
            <v>319664435.79799998</v>
          </cell>
        </row>
        <row r="5">
          <cell r="B5">
            <v>11695293.050000001</v>
          </cell>
          <cell r="C5">
            <v>70753188.965999991</v>
          </cell>
          <cell r="D5">
            <v>82448482.015999988</v>
          </cell>
          <cell r="N5">
            <v>1050904</v>
          </cell>
          <cell r="O5">
            <v>54891188.965999998</v>
          </cell>
          <cell r="X5">
            <v>9544389.9199999999</v>
          </cell>
          <cell r="Y5">
            <v>15862000</v>
          </cell>
          <cell r="AH5">
            <v>350000</v>
          </cell>
          <cell r="AI5">
            <v>0</v>
          </cell>
          <cell r="AR5">
            <v>400000</v>
          </cell>
          <cell r="AS5">
            <v>0</v>
          </cell>
          <cell r="BB5">
            <v>350000</v>
          </cell>
          <cell r="BC5">
            <v>0</v>
          </cell>
          <cell r="BD5">
            <v>11695292.92</v>
          </cell>
          <cell r="BE5">
            <v>70753188.965999991</v>
          </cell>
          <cell r="BF5">
            <v>82448481.885999992</v>
          </cell>
        </row>
        <row r="6">
          <cell r="B6">
            <v>1250000</v>
          </cell>
          <cell r="C6">
            <v>0</v>
          </cell>
          <cell r="D6">
            <v>1250000</v>
          </cell>
          <cell r="N6">
            <v>0</v>
          </cell>
          <cell r="O6">
            <v>0</v>
          </cell>
          <cell r="X6">
            <v>150000</v>
          </cell>
          <cell r="Y6">
            <v>0</v>
          </cell>
          <cell r="AH6">
            <v>350000</v>
          </cell>
          <cell r="AI6">
            <v>0</v>
          </cell>
          <cell r="AR6">
            <v>400000</v>
          </cell>
          <cell r="AS6">
            <v>0</v>
          </cell>
          <cell r="BB6">
            <v>350000</v>
          </cell>
          <cell r="BC6">
            <v>0</v>
          </cell>
          <cell r="BD6">
            <v>1250000</v>
          </cell>
          <cell r="BE6">
            <v>0</v>
          </cell>
          <cell r="BF6">
            <v>1250000</v>
          </cell>
        </row>
        <row r="7">
          <cell r="B7">
            <v>0</v>
          </cell>
          <cell r="C7">
            <v>15862000</v>
          </cell>
          <cell r="D7">
            <v>15862000</v>
          </cell>
          <cell r="N7">
            <v>0</v>
          </cell>
          <cell r="O7">
            <v>0</v>
          </cell>
          <cell r="X7">
            <v>0</v>
          </cell>
          <cell r="Y7">
            <v>15862000</v>
          </cell>
          <cell r="AH7">
            <v>0</v>
          </cell>
          <cell r="AI7">
            <v>0</v>
          </cell>
          <cell r="AR7">
            <v>0</v>
          </cell>
          <cell r="AS7">
            <v>0</v>
          </cell>
          <cell r="BB7">
            <v>0</v>
          </cell>
          <cell r="BC7">
            <v>0</v>
          </cell>
          <cell r="BD7">
            <v>0</v>
          </cell>
          <cell r="BE7">
            <v>15862000</v>
          </cell>
          <cell r="BF7">
            <v>15862000</v>
          </cell>
        </row>
        <row r="8">
          <cell r="B8">
            <v>2036963.34</v>
          </cell>
          <cell r="C8">
            <v>54891188.965999998</v>
          </cell>
          <cell r="D8">
            <v>56928152.306000002</v>
          </cell>
          <cell r="N8">
            <v>185664</v>
          </cell>
          <cell r="O8">
            <v>54891188.965999998</v>
          </cell>
          <cell r="X8">
            <v>1851299</v>
          </cell>
          <cell r="Y8">
            <v>0</v>
          </cell>
          <cell r="AH8">
            <v>0</v>
          </cell>
          <cell r="AI8">
            <v>0</v>
          </cell>
          <cell r="AR8">
            <v>0</v>
          </cell>
          <cell r="AS8">
            <v>0</v>
          </cell>
          <cell r="BB8">
            <v>0</v>
          </cell>
          <cell r="BC8">
            <v>0</v>
          </cell>
          <cell r="BD8">
            <v>2036963</v>
          </cell>
          <cell r="BE8">
            <v>54891188.965999998</v>
          </cell>
          <cell r="BF8">
            <v>56928151.965999998</v>
          </cell>
        </row>
        <row r="9">
          <cell r="B9">
            <v>8408329.7100000009</v>
          </cell>
          <cell r="C9">
            <v>0</v>
          </cell>
          <cell r="D9">
            <v>8408329.7100000009</v>
          </cell>
          <cell r="N9">
            <v>865240</v>
          </cell>
          <cell r="O9">
            <v>0</v>
          </cell>
          <cell r="X9">
            <v>7543090.9199999999</v>
          </cell>
          <cell r="Y9">
            <v>0</v>
          </cell>
          <cell r="AH9">
            <v>0</v>
          </cell>
          <cell r="AI9">
            <v>0</v>
          </cell>
          <cell r="AR9">
            <v>0</v>
          </cell>
          <cell r="AS9">
            <v>0</v>
          </cell>
          <cell r="BB9">
            <v>0</v>
          </cell>
          <cell r="BC9">
            <v>0</v>
          </cell>
          <cell r="BD9">
            <v>8408329.9199999999</v>
          </cell>
          <cell r="BE9">
            <v>0</v>
          </cell>
          <cell r="BF9">
            <v>8408329.9199999999</v>
          </cell>
        </row>
        <row r="10">
          <cell r="B10">
            <v>14418693.609999999</v>
          </cell>
          <cell r="C10">
            <v>22175499.880000003</v>
          </cell>
          <cell r="D10">
            <v>36594193.490000002</v>
          </cell>
          <cell r="N10">
            <v>4132071.48</v>
          </cell>
          <cell r="O10">
            <v>9534214.7400000002</v>
          </cell>
          <cell r="X10">
            <v>8957747.7199999988</v>
          </cell>
          <cell r="Y10">
            <v>6320642.5700000003</v>
          </cell>
          <cell r="AH10">
            <v>1328874.4099999999</v>
          </cell>
          <cell r="AI10">
            <v>6320642.5700000003</v>
          </cell>
          <cell r="AR10">
            <v>0</v>
          </cell>
          <cell r="AS10">
            <v>0</v>
          </cell>
          <cell r="BB10">
            <v>0</v>
          </cell>
          <cell r="BC10">
            <v>0</v>
          </cell>
          <cell r="BD10">
            <v>14418693.609999999</v>
          </cell>
          <cell r="BE10">
            <v>22175499.880000003</v>
          </cell>
          <cell r="BF10">
            <v>36594193.490000002</v>
          </cell>
        </row>
        <row r="11">
          <cell r="B11">
            <v>6081666.9100000001</v>
          </cell>
          <cell r="C11">
            <v>19761927.710000001</v>
          </cell>
          <cell r="D11">
            <v>25843594.620000001</v>
          </cell>
          <cell r="N11">
            <v>3710928.91</v>
          </cell>
          <cell r="O11">
            <v>7120642.5700000003</v>
          </cell>
          <cell r="X11">
            <v>2370738</v>
          </cell>
          <cell r="Y11">
            <v>6320642.5700000003</v>
          </cell>
          <cell r="AH11">
            <v>0</v>
          </cell>
          <cell r="AI11">
            <v>6320642.5700000003</v>
          </cell>
          <cell r="AR11">
            <v>0</v>
          </cell>
          <cell r="AS11">
            <v>0</v>
          </cell>
          <cell r="BB11">
            <v>0</v>
          </cell>
          <cell r="BC11">
            <v>0</v>
          </cell>
          <cell r="BD11">
            <v>6081666.9100000001</v>
          </cell>
          <cell r="BE11">
            <v>19761927.710000001</v>
          </cell>
          <cell r="BF11">
            <v>25843594.620000001</v>
          </cell>
        </row>
        <row r="12">
          <cell r="B12">
            <v>1310507.82</v>
          </cell>
          <cell r="C12">
            <v>413572.17</v>
          </cell>
          <cell r="D12">
            <v>1724079.99</v>
          </cell>
          <cell r="N12">
            <v>421142.57</v>
          </cell>
          <cell r="O12">
            <v>413572.17</v>
          </cell>
          <cell r="X12">
            <v>889365.25</v>
          </cell>
          <cell r="Y12">
            <v>0</v>
          </cell>
          <cell r="AH12">
            <v>0</v>
          </cell>
          <cell r="AI12">
            <v>0</v>
          </cell>
          <cell r="AR12">
            <v>0</v>
          </cell>
          <cell r="AS12">
            <v>0</v>
          </cell>
          <cell r="BB12">
            <v>0</v>
          </cell>
          <cell r="BC12">
            <v>0</v>
          </cell>
          <cell r="BD12">
            <v>1310507.82</v>
          </cell>
          <cell r="BE12">
            <v>413572.17</v>
          </cell>
          <cell r="BF12">
            <v>1724079.99</v>
          </cell>
        </row>
        <row r="13">
          <cell r="B13">
            <v>1328874.4099999999</v>
          </cell>
          <cell r="C13">
            <v>0</v>
          </cell>
          <cell r="D13">
            <v>1328874.4099999999</v>
          </cell>
          <cell r="N13">
            <v>0</v>
          </cell>
          <cell r="O13">
            <v>0</v>
          </cell>
          <cell r="X13">
            <v>0</v>
          </cell>
          <cell r="Y13">
            <v>0</v>
          </cell>
          <cell r="AH13">
            <v>1328874.4099999999</v>
          </cell>
          <cell r="AI13">
            <v>0</v>
          </cell>
          <cell r="AR13">
            <v>0</v>
          </cell>
          <cell r="AS13">
            <v>0</v>
          </cell>
          <cell r="BB13">
            <v>0</v>
          </cell>
          <cell r="BC13">
            <v>0</v>
          </cell>
          <cell r="BD13">
            <v>1328874.4099999999</v>
          </cell>
          <cell r="BE13">
            <v>0</v>
          </cell>
          <cell r="BF13">
            <v>1328874.4099999999</v>
          </cell>
        </row>
        <row r="14">
          <cell r="B14">
            <v>5697644.4699999997</v>
          </cell>
          <cell r="C14">
            <v>2000000</v>
          </cell>
          <cell r="D14">
            <v>7697644.4699999997</v>
          </cell>
          <cell r="N14">
            <v>0</v>
          </cell>
          <cell r="O14">
            <v>2000000</v>
          </cell>
          <cell r="X14">
            <v>5697644.4699999997</v>
          </cell>
          <cell r="Y14">
            <v>0</v>
          </cell>
          <cell r="AH14">
            <v>0</v>
          </cell>
          <cell r="AI14">
            <v>0</v>
          </cell>
          <cell r="AR14">
            <v>0</v>
          </cell>
          <cell r="AS14">
            <v>0</v>
          </cell>
          <cell r="BB14">
            <v>0</v>
          </cell>
          <cell r="BC14">
            <v>0</v>
          </cell>
          <cell r="BD14">
            <v>5697644.4699999997</v>
          </cell>
          <cell r="BE14">
            <v>2000000</v>
          </cell>
          <cell r="BF14">
            <v>7697644.4699999997</v>
          </cell>
        </row>
        <row r="15">
          <cell r="B15">
            <v>45065449.569999993</v>
          </cell>
          <cell r="C15">
            <v>155556310.852</v>
          </cell>
          <cell r="D15">
            <v>200621760.42199999</v>
          </cell>
          <cell r="N15">
            <v>36724242</v>
          </cell>
          <cell r="O15">
            <v>34651407.572000004</v>
          </cell>
          <cell r="X15">
            <v>4001563.0999999996</v>
          </cell>
          <cell r="Y15">
            <v>28894241</v>
          </cell>
          <cell r="AH15">
            <v>4339644.47</v>
          </cell>
          <cell r="AI15">
            <v>92010662.280000001</v>
          </cell>
          <cell r="AR15">
            <v>0</v>
          </cell>
          <cell r="AS15">
            <v>0</v>
          </cell>
          <cell r="BB15">
            <v>0</v>
          </cell>
          <cell r="BC15">
            <v>0</v>
          </cell>
          <cell r="BD15">
            <v>45065449.569999993</v>
          </cell>
          <cell r="BE15">
            <v>155556310.852</v>
          </cell>
          <cell r="BF15">
            <v>200621760.42199999</v>
          </cell>
        </row>
        <row r="16">
          <cell r="B16">
            <v>0</v>
          </cell>
          <cell r="C16">
            <v>0</v>
          </cell>
          <cell r="D16">
            <v>0</v>
          </cell>
          <cell r="N16">
            <v>0</v>
          </cell>
          <cell r="O16">
            <v>0</v>
          </cell>
          <cell r="X16">
            <v>0</v>
          </cell>
          <cell r="Y16">
            <v>0</v>
          </cell>
          <cell r="AH16">
            <v>0</v>
          </cell>
          <cell r="AI16">
            <v>0</v>
          </cell>
          <cell r="AR16">
            <v>0</v>
          </cell>
          <cell r="AS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B17">
            <v>36724242</v>
          </cell>
          <cell r="C17">
            <v>15612726</v>
          </cell>
          <cell r="D17">
            <v>52336968</v>
          </cell>
          <cell r="N17">
            <v>36724242</v>
          </cell>
          <cell r="O17">
            <v>15612726</v>
          </cell>
          <cell r="X17">
            <v>0</v>
          </cell>
          <cell r="Y17">
            <v>0</v>
          </cell>
          <cell r="AH17">
            <v>0</v>
          </cell>
          <cell r="AI17">
            <v>0</v>
          </cell>
          <cell r="AR17">
            <v>0</v>
          </cell>
          <cell r="AS17">
            <v>0</v>
          </cell>
          <cell r="BB17">
            <v>0</v>
          </cell>
          <cell r="BC17">
            <v>0</v>
          </cell>
          <cell r="BD17">
            <v>36724242</v>
          </cell>
          <cell r="BE17">
            <v>15612726</v>
          </cell>
          <cell r="BF17">
            <v>52336968</v>
          </cell>
        </row>
        <row r="18">
          <cell r="B18">
            <v>0</v>
          </cell>
          <cell r="C18">
            <v>134525409.852</v>
          </cell>
          <cell r="D18">
            <v>134525409.852</v>
          </cell>
          <cell r="N18">
            <v>0</v>
          </cell>
          <cell r="O18">
            <v>13620506.572000002</v>
          </cell>
          <cell r="X18">
            <v>0</v>
          </cell>
          <cell r="Y18">
            <v>28894241</v>
          </cell>
          <cell r="AH18">
            <v>0</v>
          </cell>
          <cell r="AI18">
            <v>92010662.280000001</v>
          </cell>
          <cell r="AR18">
            <v>0</v>
          </cell>
          <cell r="AS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134525409.852</v>
          </cell>
          <cell r="BF18">
            <v>134525409.852</v>
          </cell>
        </row>
        <row r="19">
          <cell r="B19">
            <v>1314688.69</v>
          </cell>
          <cell r="C19">
            <v>0</v>
          </cell>
          <cell r="D19">
            <v>1314688.69</v>
          </cell>
          <cell r="N19">
            <v>0</v>
          </cell>
          <cell r="O19">
            <v>0</v>
          </cell>
          <cell r="X19">
            <v>1314688.69</v>
          </cell>
          <cell r="Y19">
            <v>0</v>
          </cell>
          <cell r="AH19">
            <v>0</v>
          </cell>
          <cell r="AI19">
            <v>0</v>
          </cell>
          <cell r="AR19">
            <v>0</v>
          </cell>
          <cell r="AS19">
            <v>0</v>
          </cell>
          <cell r="BB19">
            <v>0</v>
          </cell>
          <cell r="BC19">
            <v>0</v>
          </cell>
          <cell r="BD19">
            <v>1314688.69</v>
          </cell>
          <cell r="BE19">
            <v>0</v>
          </cell>
          <cell r="BF19">
            <v>1314688.69</v>
          </cell>
        </row>
        <row r="20">
          <cell r="B20">
            <v>1328874.4099999999</v>
          </cell>
          <cell r="C20">
            <v>0</v>
          </cell>
          <cell r="D20">
            <v>1328874.4099999999</v>
          </cell>
          <cell r="N20">
            <v>0</v>
          </cell>
          <cell r="O20">
            <v>0</v>
          </cell>
          <cell r="X20">
            <v>1328874.4099999999</v>
          </cell>
          <cell r="Y20">
            <v>0</v>
          </cell>
          <cell r="AH20">
            <v>0</v>
          </cell>
          <cell r="AI20">
            <v>0</v>
          </cell>
          <cell r="AR20">
            <v>0</v>
          </cell>
          <cell r="AS20">
            <v>0</v>
          </cell>
          <cell r="BB20">
            <v>0</v>
          </cell>
          <cell r="BC20">
            <v>0</v>
          </cell>
          <cell r="BD20">
            <v>1328874.4099999999</v>
          </cell>
          <cell r="BE20">
            <v>0</v>
          </cell>
          <cell r="BF20">
            <v>1328874.4099999999</v>
          </cell>
        </row>
        <row r="21">
          <cell r="B21">
            <v>5697644.4699999997</v>
          </cell>
          <cell r="C21">
            <v>0</v>
          </cell>
          <cell r="D21">
            <v>5697644.4699999997</v>
          </cell>
          <cell r="N21">
            <v>0</v>
          </cell>
          <cell r="O21">
            <v>0</v>
          </cell>
          <cell r="X21">
            <v>1358000</v>
          </cell>
          <cell r="Y21">
            <v>0</v>
          </cell>
          <cell r="AH21">
            <v>4339644.47</v>
          </cell>
          <cell r="AI21">
            <v>0</v>
          </cell>
          <cell r="AR21">
            <v>0</v>
          </cell>
          <cell r="AS21">
            <v>0</v>
          </cell>
          <cell r="BB21">
            <v>0</v>
          </cell>
          <cell r="BC21">
            <v>0</v>
          </cell>
          <cell r="BD21">
            <v>5697644.4699999997</v>
          </cell>
          <cell r="BE21">
            <v>0</v>
          </cell>
          <cell r="BF21">
            <v>5697644.4699999997</v>
          </cell>
        </row>
        <row r="22">
          <cell r="B22">
            <v>0</v>
          </cell>
          <cell r="C22">
            <v>5418175</v>
          </cell>
          <cell r="D22">
            <v>5418175</v>
          </cell>
          <cell r="N22">
            <v>0</v>
          </cell>
          <cell r="O22">
            <v>5418175</v>
          </cell>
          <cell r="X22">
            <v>0</v>
          </cell>
          <cell r="Y22">
            <v>0</v>
          </cell>
          <cell r="AH22">
            <v>0</v>
          </cell>
          <cell r="AI22">
            <v>0</v>
          </cell>
          <cell r="AR22">
            <v>0</v>
          </cell>
          <cell r="AS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5418175</v>
          </cell>
          <cell r="BF22">
            <v>5418175</v>
          </cell>
        </row>
        <row r="23">
          <cell r="B23">
            <v>21774000</v>
          </cell>
          <cell r="C23">
            <v>0</v>
          </cell>
          <cell r="D23">
            <v>21774000</v>
          </cell>
          <cell r="N23">
            <v>710000</v>
          </cell>
          <cell r="O23">
            <v>0</v>
          </cell>
          <cell r="X23">
            <v>5101580</v>
          </cell>
          <cell r="Y23">
            <v>0</v>
          </cell>
          <cell r="AH23">
            <v>9407840</v>
          </cell>
          <cell r="AI23">
            <v>0</v>
          </cell>
          <cell r="AR23">
            <v>5318330</v>
          </cell>
          <cell r="AS23">
            <v>0</v>
          </cell>
          <cell r="BB23">
            <v>1236250</v>
          </cell>
          <cell r="BC23">
            <v>0</v>
          </cell>
          <cell r="BD23">
            <v>21774000</v>
          </cell>
          <cell r="BE23">
            <v>0</v>
          </cell>
          <cell r="BF23">
            <v>21774000</v>
          </cell>
        </row>
        <row r="24">
          <cell r="B24">
            <v>3345000</v>
          </cell>
          <cell r="C24">
            <v>0</v>
          </cell>
          <cell r="D24">
            <v>3345000</v>
          </cell>
          <cell r="N24">
            <v>0</v>
          </cell>
          <cell r="O24">
            <v>0</v>
          </cell>
          <cell r="X24">
            <v>0</v>
          </cell>
          <cell r="Y24">
            <v>0</v>
          </cell>
          <cell r="AH24">
            <v>0</v>
          </cell>
          <cell r="AI24">
            <v>0</v>
          </cell>
          <cell r="AR24">
            <v>2108750</v>
          </cell>
          <cell r="AS24">
            <v>0</v>
          </cell>
          <cell r="BB24">
            <v>1236250</v>
          </cell>
          <cell r="BC24">
            <v>0</v>
          </cell>
          <cell r="BD24">
            <v>3345000</v>
          </cell>
          <cell r="BE24">
            <v>0</v>
          </cell>
          <cell r="BF24">
            <v>3345000</v>
          </cell>
        </row>
        <row r="25">
          <cell r="B25">
            <v>13589000</v>
          </cell>
          <cell r="C25">
            <v>0</v>
          </cell>
          <cell r="D25">
            <v>13589000</v>
          </cell>
          <cell r="N25">
            <v>0</v>
          </cell>
          <cell r="O25">
            <v>0</v>
          </cell>
          <cell r="X25">
            <v>2309580</v>
          </cell>
          <cell r="Y25">
            <v>0</v>
          </cell>
          <cell r="AH25">
            <v>8069840</v>
          </cell>
          <cell r="AI25">
            <v>0</v>
          </cell>
          <cell r="AR25">
            <v>3209580</v>
          </cell>
          <cell r="AS25">
            <v>0</v>
          </cell>
          <cell r="BB25">
            <v>0</v>
          </cell>
          <cell r="BC25">
            <v>0</v>
          </cell>
          <cell r="BD25">
            <v>13589000</v>
          </cell>
          <cell r="BE25">
            <v>0</v>
          </cell>
          <cell r="BF25">
            <v>13589000</v>
          </cell>
        </row>
        <row r="26">
          <cell r="B26">
            <v>350000</v>
          </cell>
          <cell r="C26">
            <v>0</v>
          </cell>
          <cell r="D26">
            <v>350000</v>
          </cell>
          <cell r="N26">
            <v>350000</v>
          </cell>
          <cell r="O26">
            <v>0</v>
          </cell>
          <cell r="X26">
            <v>0</v>
          </cell>
          <cell r="Y26">
            <v>0</v>
          </cell>
          <cell r="AH26">
            <v>0</v>
          </cell>
          <cell r="AI26">
            <v>0</v>
          </cell>
          <cell r="AR26">
            <v>0</v>
          </cell>
          <cell r="AS26">
            <v>0</v>
          </cell>
          <cell r="BB26">
            <v>0</v>
          </cell>
          <cell r="BC26">
            <v>0</v>
          </cell>
          <cell r="BD26">
            <v>350000</v>
          </cell>
          <cell r="BE26">
            <v>0</v>
          </cell>
          <cell r="BF26">
            <v>350000</v>
          </cell>
        </row>
        <row r="27">
          <cell r="B27">
            <v>200000</v>
          </cell>
          <cell r="C27">
            <v>0</v>
          </cell>
          <cell r="D27">
            <v>200000</v>
          </cell>
          <cell r="N27">
            <v>0</v>
          </cell>
          <cell r="O27">
            <v>0</v>
          </cell>
          <cell r="X27">
            <v>200000</v>
          </cell>
          <cell r="Y27">
            <v>0</v>
          </cell>
          <cell r="AH27">
            <v>0</v>
          </cell>
          <cell r="AI27">
            <v>0</v>
          </cell>
          <cell r="AR27">
            <v>0</v>
          </cell>
          <cell r="AS27">
            <v>0</v>
          </cell>
          <cell r="BB27">
            <v>0</v>
          </cell>
          <cell r="BC27">
            <v>0</v>
          </cell>
          <cell r="BD27">
            <v>200000</v>
          </cell>
          <cell r="BE27">
            <v>0</v>
          </cell>
          <cell r="BF27">
            <v>200000</v>
          </cell>
        </row>
        <row r="28">
          <cell r="B28">
            <v>360000</v>
          </cell>
          <cell r="C28">
            <v>0</v>
          </cell>
          <cell r="D28">
            <v>360000</v>
          </cell>
          <cell r="N28">
            <v>360000</v>
          </cell>
          <cell r="O28">
            <v>0</v>
          </cell>
          <cell r="X28">
            <v>0</v>
          </cell>
          <cell r="Y28">
            <v>0</v>
          </cell>
          <cell r="AH28">
            <v>0</v>
          </cell>
          <cell r="AI28">
            <v>0</v>
          </cell>
          <cell r="AR28">
            <v>0</v>
          </cell>
          <cell r="AS28">
            <v>0</v>
          </cell>
          <cell r="BB28">
            <v>0</v>
          </cell>
          <cell r="BC28">
            <v>0</v>
          </cell>
          <cell r="BD28">
            <v>360000</v>
          </cell>
          <cell r="BE28">
            <v>0</v>
          </cell>
          <cell r="BF28">
            <v>360000</v>
          </cell>
        </row>
        <row r="29">
          <cell r="B29">
            <v>350000</v>
          </cell>
          <cell r="C29">
            <v>0</v>
          </cell>
          <cell r="D29">
            <v>350000</v>
          </cell>
          <cell r="N29">
            <v>0</v>
          </cell>
          <cell r="O29">
            <v>0</v>
          </cell>
          <cell r="X29">
            <v>350000</v>
          </cell>
          <cell r="Y29">
            <v>0</v>
          </cell>
          <cell r="AH29">
            <v>0</v>
          </cell>
          <cell r="AI29">
            <v>0</v>
          </cell>
          <cell r="AR29">
            <v>0</v>
          </cell>
          <cell r="AS29">
            <v>0</v>
          </cell>
          <cell r="BB29">
            <v>0</v>
          </cell>
          <cell r="BC29">
            <v>0</v>
          </cell>
          <cell r="BD29">
            <v>350000</v>
          </cell>
          <cell r="BE29">
            <v>0</v>
          </cell>
          <cell r="BF29">
            <v>350000</v>
          </cell>
        </row>
        <row r="30">
          <cell r="B30">
            <v>0</v>
          </cell>
          <cell r="C30">
            <v>0</v>
          </cell>
          <cell r="D30">
            <v>0</v>
          </cell>
          <cell r="N30">
            <v>0</v>
          </cell>
          <cell r="O30">
            <v>0</v>
          </cell>
          <cell r="X30">
            <v>0</v>
          </cell>
          <cell r="Y30">
            <v>0</v>
          </cell>
          <cell r="AH30">
            <v>0</v>
          </cell>
          <cell r="AI30">
            <v>0</v>
          </cell>
          <cell r="AR30">
            <v>0</v>
          </cell>
          <cell r="AS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</row>
        <row r="31">
          <cell r="B31">
            <v>1350000</v>
          </cell>
          <cell r="C31">
            <v>0</v>
          </cell>
          <cell r="D31">
            <v>1350000</v>
          </cell>
          <cell r="N31">
            <v>0</v>
          </cell>
          <cell r="O31">
            <v>0</v>
          </cell>
          <cell r="X31">
            <v>681000</v>
          </cell>
          <cell r="Y31">
            <v>0</v>
          </cell>
          <cell r="AH31">
            <v>669000</v>
          </cell>
          <cell r="AI31">
            <v>0</v>
          </cell>
          <cell r="AR31">
            <v>0</v>
          </cell>
          <cell r="AS31">
            <v>0</v>
          </cell>
          <cell r="BB31">
            <v>0</v>
          </cell>
          <cell r="BC31">
            <v>0</v>
          </cell>
          <cell r="BD31">
            <v>1350000</v>
          </cell>
          <cell r="BE31">
            <v>0</v>
          </cell>
          <cell r="BF31">
            <v>1350000</v>
          </cell>
        </row>
        <row r="32">
          <cell r="B32">
            <v>2230000</v>
          </cell>
          <cell r="C32">
            <v>0</v>
          </cell>
          <cell r="D32">
            <v>2230000</v>
          </cell>
          <cell r="N32">
            <v>0</v>
          </cell>
          <cell r="O32">
            <v>0</v>
          </cell>
          <cell r="X32">
            <v>1561000</v>
          </cell>
          <cell r="Y32">
            <v>0</v>
          </cell>
          <cell r="AH32">
            <v>669000</v>
          </cell>
          <cell r="AI32">
            <v>0</v>
          </cell>
          <cell r="AR32">
            <v>0</v>
          </cell>
          <cell r="AS32">
            <v>0</v>
          </cell>
          <cell r="BB32">
            <v>0</v>
          </cell>
          <cell r="BC32">
            <v>0</v>
          </cell>
          <cell r="BD32">
            <v>2230000</v>
          </cell>
          <cell r="BE32">
            <v>0</v>
          </cell>
          <cell r="BF32">
            <v>2230000</v>
          </cell>
        </row>
        <row r="33">
          <cell r="B33">
            <v>128537072.95</v>
          </cell>
          <cell r="C33">
            <v>0</v>
          </cell>
          <cell r="D33">
            <v>128537072.95</v>
          </cell>
          <cell r="N33">
            <v>25057325</v>
          </cell>
          <cell r="O33">
            <v>0</v>
          </cell>
          <cell r="X33">
            <v>71617384</v>
          </cell>
          <cell r="Y33">
            <v>0</v>
          </cell>
          <cell r="AH33">
            <v>31862363.949999999</v>
          </cell>
          <cell r="AI33">
            <v>0</v>
          </cell>
          <cell r="AR33">
            <v>0</v>
          </cell>
          <cell r="AS33">
            <v>0</v>
          </cell>
          <cell r="BB33">
            <v>0</v>
          </cell>
          <cell r="BC33">
            <v>0</v>
          </cell>
          <cell r="BD33">
            <v>128537072.95</v>
          </cell>
          <cell r="BE33">
            <v>0</v>
          </cell>
          <cell r="BF33">
            <v>128537072.95</v>
          </cell>
        </row>
        <row r="34">
          <cell r="B34">
            <v>128537072.95</v>
          </cell>
          <cell r="C34">
            <v>0</v>
          </cell>
          <cell r="D34">
            <v>128537072.95</v>
          </cell>
          <cell r="N34">
            <v>25057325</v>
          </cell>
          <cell r="O34">
            <v>0</v>
          </cell>
          <cell r="X34">
            <v>71617384</v>
          </cell>
          <cell r="Y34">
            <v>0</v>
          </cell>
          <cell r="AH34">
            <v>31862363.949999999</v>
          </cell>
          <cell r="AI34">
            <v>0</v>
          </cell>
          <cell r="AR34">
            <v>0</v>
          </cell>
          <cell r="AS34">
            <v>0</v>
          </cell>
          <cell r="BB34">
            <v>0</v>
          </cell>
          <cell r="BC34">
            <v>0</v>
          </cell>
          <cell r="BD34">
            <v>128537072.95</v>
          </cell>
          <cell r="BE34">
            <v>0</v>
          </cell>
          <cell r="BF34">
            <v>128537072.95</v>
          </cell>
        </row>
        <row r="35">
          <cell r="B35">
            <v>128537072.95</v>
          </cell>
          <cell r="C35">
            <v>0</v>
          </cell>
          <cell r="D35">
            <v>128537072.95</v>
          </cell>
          <cell r="N35">
            <v>25057325</v>
          </cell>
          <cell r="O35">
            <v>0</v>
          </cell>
          <cell r="X35">
            <v>71617384</v>
          </cell>
          <cell r="Y35">
            <v>0</v>
          </cell>
          <cell r="AH35">
            <v>31862363.949999999</v>
          </cell>
          <cell r="AI35">
            <v>0</v>
          </cell>
          <cell r="AR35">
            <v>0</v>
          </cell>
          <cell r="AS35">
            <v>0</v>
          </cell>
          <cell r="BB35">
            <v>0</v>
          </cell>
          <cell r="BC35">
            <v>0</v>
          </cell>
          <cell r="BD35">
            <v>128537072.95</v>
          </cell>
          <cell r="BE35">
            <v>0</v>
          </cell>
          <cell r="BF35">
            <v>128537072.95</v>
          </cell>
        </row>
        <row r="36">
          <cell r="B36">
            <v>73693708.090000018</v>
          </cell>
          <cell r="C36">
            <v>0</v>
          </cell>
          <cell r="D36">
            <v>73693708.090000018</v>
          </cell>
          <cell r="N36">
            <v>14717893</v>
          </cell>
          <cell r="O36">
            <v>0</v>
          </cell>
          <cell r="X36">
            <v>39668388</v>
          </cell>
          <cell r="Y36">
            <v>0</v>
          </cell>
          <cell r="AH36">
            <v>19307427.09</v>
          </cell>
          <cell r="AI36">
            <v>0</v>
          </cell>
          <cell r="AR36">
            <v>0</v>
          </cell>
          <cell r="AS36">
            <v>0</v>
          </cell>
          <cell r="BB36">
            <v>0</v>
          </cell>
          <cell r="BC36">
            <v>0</v>
          </cell>
          <cell r="BD36">
            <v>73693708.090000004</v>
          </cell>
          <cell r="BE36">
            <v>0</v>
          </cell>
          <cell r="BF36">
            <v>73693708.090000004</v>
          </cell>
        </row>
        <row r="37">
          <cell r="B37">
            <v>50699581.140000001</v>
          </cell>
          <cell r="C37">
            <v>0</v>
          </cell>
          <cell r="D37">
            <v>50699581.140000001</v>
          </cell>
          <cell r="N37">
            <v>10339432</v>
          </cell>
          <cell r="O37">
            <v>0</v>
          </cell>
          <cell r="X37">
            <v>31448996</v>
          </cell>
          <cell r="Y37">
            <v>0</v>
          </cell>
          <cell r="AH37">
            <v>8911153.1400000006</v>
          </cell>
          <cell r="AI37">
            <v>0</v>
          </cell>
          <cell r="AR37">
            <v>0</v>
          </cell>
          <cell r="AS37">
            <v>0</v>
          </cell>
          <cell r="BB37">
            <v>0</v>
          </cell>
          <cell r="BC37">
            <v>0</v>
          </cell>
          <cell r="BD37">
            <v>50699581.140000001</v>
          </cell>
          <cell r="BE37">
            <v>0</v>
          </cell>
          <cell r="BF37">
            <v>50699581.140000001</v>
          </cell>
        </row>
        <row r="38">
          <cell r="B38">
            <v>0</v>
          </cell>
          <cell r="C38">
            <v>0</v>
          </cell>
          <cell r="D38">
            <v>0</v>
          </cell>
          <cell r="N38">
            <v>0</v>
          </cell>
          <cell r="O38">
            <v>0</v>
          </cell>
          <cell r="X38">
            <v>0</v>
          </cell>
          <cell r="Y38">
            <v>0</v>
          </cell>
          <cell r="AH38">
            <v>0</v>
          </cell>
          <cell r="AI38">
            <v>0</v>
          </cell>
          <cell r="AR38">
            <v>0</v>
          </cell>
          <cell r="AS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</row>
        <row r="39">
          <cell r="B39">
            <v>1575577.35</v>
          </cell>
          <cell r="C39">
            <v>0</v>
          </cell>
          <cell r="D39">
            <v>1575577.35</v>
          </cell>
          <cell r="N39">
            <v>0</v>
          </cell>
          <cell r="O39">
            <v>0</v>
          </cell>
          <cell r="X39">
            <v>500000</v>
          </cell>
          <cell r="Y39">
            <v>0</v>
          </cell>
          <cell r="AH39">
            <v>1075577.3500000001</v>
          </cell>
          <cell r="AI39">
            <v>0</v>
          </cell>
          <cell r="AR39">
            <v>0</v>
          </cell>
          <cell r="AS39">
            <v>0</v>
          </cell>
          <cell r="BB39">
            <v>0</v>
          </cell>
          <cell r="BC39">
            <v>0</v>
          </cell>
          <cell r="BD39">
            <v>1575577.35</v>
          </cell>
          <cell r="BE39">
            <v>0</v>
          </cell>
          <cell r="BF39">
            <v>1575577.35</v>
          </cell>
        </row>
        <row r="40">
          <cell r="B40">
            <v>1294332.74</v>
          </cell>
          <cell r="C40">
            <v>0</v>
          </cell>
          <cell r="D40">
            <v>1294332.74</v>
          </cell>
          <cell r="N40">
            <v>0</v>
          </cell>
          <cell r="O40">
            <v>0</v>
          </cell>
          <cell r="X40">
            <v>0</v>
          </cell>
          <cell r="Y40">
            <v>0</v>
          </cell>
          <cell r="AH40">
            <v>1294332.74</v>
          </cell>
          <cell r="AI40">
            <v>0</v>
          </cell>
          <cell r="AR40">
            <v>0</v>
          </cell>
          <cell r="AS40">
            <v>0</v>
          </cell>
          <cell r="BB40">
            <v>0</v>
          </cell>
          <cell r="BC40">
            <v>0</v>
          </cell>
          <cell r="BD40">
            <v>1294332.74</v>
          </cell>
          <cell r="BE40">
            <v>0</v>
          </cell>
          <cell r="BF40">
            <v>1294332.74</v>
          </cell>
        </row>
        <row r="41">
          <cell r="B41">
            <v>1273873.6299999999</v>
          </cell>
          <cell r="C41">
            <v>0</v>
          </cell>
          <cell r="D41">
            <v>1273873.6299999999</v>
          </cell>
          <cell r="N41">
            <v>0</v>
          </cell>
          <cell r="O41">
            <v>0</v>
          </cell>
          <cell r="X41">
            <v>0</v>
          </cell>
          <cell r="Y41">
            <v>0</v>
          </cell>
          <cell r="AH41">
            <v>1273873.6299999999</v>
          </cell>
          <cell r="AI41">
            <v>0</v>
          </cell>
          <cell r="AR41">
            <v>0</v>
          </cell>
          <cell r="AS41">
            <v>0</v>
          </cell>
          <cell r="BB41">
            <v>0</v>
          </cell>
          <cell r="BC41">
            <v>0</v>
          </cell>
          <cell r="BD41">
            <v>1273873.6299999999</v>
          </cell>
          <cell r="BE41">
            <v>0</v>
          </cell>
          <cell r="BF41">
            <v>1273873.6299999999</v>
          </cell>
        </row>
        <row r="42">
          <cell r="B42">
            <v>0</v>
          </cell>
          <cell r="C42">
            <v>0</v>
          </cell>
          <cell r="D42">
            <v>0</v>
          </cell>
          <cell r="N42">
            <v>0</v>
          </cell>
          <cell r="O42">
            <v>0</v>
          </cell>
          <cell r="X42">
            <v>0</v>
          </cell>
          <cell r="Y42">
            <v>0</v>
          </cell>
          <cell r="AH42">
            <v>0</v>
          </cell>
          <cell r="AI42">
            <v>0</v>
          </cell>
          <cell r="AR42">
            <v>0</v>
          </cell>
          <cell r="AS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N43">
            <v>0</v>
          </cell>
          <cell r="O43">
            <v>0</v>
          </cell>
          <cell r="X43">
            <v>0</v>
          </cell>
          <cell r="Y43">
            <v>0</v>
          </cell>
          <cell r="AH43">
            <v>0</v>
          </cell>
          <cell r="AI43">
            <v>0</v>
          </cell>
          <cell r="AR43">
            <v>0</v>
          </cell>
          <cell r="AS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N44">
            <v>0</v>
          </cell>
          <cell r="O44">
            <v>0</v>
          </cell>
          <cell r="X44">
            <v>0</v>
          </cell>
          <cell r="Y44">
            <v>0</v>
          </cell>
          <cell r="AH44">
            <v>0</v>
          </cell>
          <cell r="AI44">
            <v>0</v>
          </cell>
          <cell r="AR44">
            <v>0</v>
          </cell>
          <cell r="AS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N45">
            <v>0</v>
          </cell>
          <cell r="O45">
            <v>0</v>
          </cell>
          <cell r="X45">
            <v>0</v>
          </cell>
          <cell r="Y45">
            <v>0</v>
          </cell>
          <cell r="AH45">
            <v>0</v>
          </cell>
          <cell r="AI45">
            <v>0</v>
          </cell>
          <cell r="AR45">
            <v>0</v>
          </cell>
          <cell r="AS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N46">
            <v>0</v>
          </cell>
          <cell r="O46">
            <v>0</v>
          </cell>
          <cell r="X46">
            <v>0</v>
          </cell>
          <cell r="Y46">
            <v>0</v>
          </cell>
          <cell r="AH46">
            <v>0</v>
          </cell>
          <cell r="AI46">
            <v>0</v>
          </cell>
          <cell r="AR46">
            <v>0</v>
          </cell>
          <cell r="AS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N47">
            <v>0</v>
          </cell>
          <cell r="O47">
            <v>0</v>
          </cell>
          <cell r="X47">
            <v>0</v>
          </cell>
          <cell r="Y47">
            <v>0</v>
          </cell>
          <cell r="AH47">
            <v>0</v>
          </cell>
          <cell r="AI47">
            <v>0</v>
          </cell>
          <cell r="AR47">
            <v>0</v>
          </cell>
          <cell r="AS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8">
          <cell r="B48">
            <v>27109491</v>
          </cell>
          <cell r="C48">
            <v>915000</v>
          </cell>
          <cell r="D48">
            <v>28024491</v>
          </cell>
          <cell r="N48">
            <v>3207193</v>
          </cell>
          <cell r="O48">
            <v>915000</v>
          </cell>
          <cell r="X48">
            <v>6659160</v>
          </cell>
          <cell r="Y48">
            <v>0</v>
          </cell>
          <cell r="AH48">
            <v>7445000</v>
          </cell>
          <cell r="AI48">
            <v>0</v>
          </cell>
          <cell r="AR48">
            <v>5717539</v>
          </cell>
          <cell r="AS48">
            <v>0</v>
          </cell>
          <cell r="BB48">
            <v>4080599</v>
          </cell>
          <cell r="BC48">
            <v>0</v>
          </cell>
          <cell r="BD48">
            <v>27109491</v>
          </cell>
          <cell r="BE48">
            <v>915000</v>
          </cell>
          <cell r="BF48">
            <v>28024491</v>
          </cell>
        </row>
        <row r="49">
          <cell r="B49">
            <v>4905999</v>
          </cell>
          <cell r="C49">
            <v>0</v>
          </cell>
          <cell r="D49">
            <v>4905999</v>
          </cell>
          <cell r="N49">
            <v>530600</v>
          </cell>
          <cell r="O49">
            <v>0</v>
          </cell>
          <cell r="X49">
            <v>1091200</v>
          </cell>
          <cell r="Y49">
            <v>0</v>
          </cell>
          <cell r="AH49">
            <v>1091200</v>
          </cell>
          <cell r="AI49">
            <v>0</v>
          </cell>
          <cell r="AR49">
            <v>1091200</v>
          </cell>
          <cell r="AS49">
            <v>0</v>
          </cell>
          <cell r="BB49">
            <v>1101799</v>
          </cell>
          <cell r="BC49">
            <v>0</v>
          </cell>
          <cell r="BD49">
            <v>4905999</v>
          </cell>
          <cell r="BE49">
            <v>0</v>
          </cell>
          <cell r="BF49">
            <v>4905999</v>
          </cell>
        </row>
        <row r="50">
          <cell r="B50">
            <v>660000</v>
          </cell>
          <cell r="C50">
            <v>0</v>
          </cell>
          <cell r="D50">
            <v>660000</v>
          </cell>
          <cell r="N50">
            <v>91000</v>
          </cell>
          <cell r="O50">
            <v>0</v>
          </cell>
          <cell r="X50">
            <v>167600</v>
          </cell>
          <cell r="Y50">
            <v>0</v>
          </cell>
          <cell r="AH50">
            <v>133800</v>
          </cell>
          <cell r="AI50">
            <v>0</v>
          </cell>
          <cell r="AR50">
            <v>133800</v>
          </cell>
          <cell r="AS50">
            <v>0</v>
          </cell>
          <cell r="BB50">
            <v>133800</v>
          </cell>
          <cell r="BC50">
            <v>0</v>
          </cell>
          <cell r="BD50">
            <v>660000</v>
          </cell>
          <cell r="BE50">
            <v>0</v>
          </cell>
          <cell r="BF50">
            <v>660000</v>
          </cell>
        </row>
        <row r="51">
          <cell r="B51">
            <v>13380000</v>
          </cell>
          <cell r="C51">
            <v>0</v>
          </cell>
          <cell r="D51">
            <v>13380000</v>
          </cell>
          <cell r="N51">
            <v>1615000</v>
          </cell>
          <cell r="O51">
            <v>0</v>
          </cell>
          <cell r="X51">
            <v>3230000</v>
          </cell>
          <cell r="Y51">
            <v>0</v>
          </cell>
          <cell r="AH51">
            <v>3150000</v>
          </cell>
          <cell r="AI51">
            <v>0</v>
          </cell>
          <cell r="AR51">
            <v>3110000</v>
          </cell>
          <cell r="AS51">
            <v>0</v>
          </cell>
          <cell r="BB51">
            <v>2275000</v>
          </cell>
          <cell r="BC51">
            <v>0</v>
          </cell>
          <cell r="BD51">
            <v>13380000</v>
          </cell>
          <cell r="BE51">
            <v>0</v>
          </cell>
          <cell r="BF51">
            <v>13380000</v>
          </cell>
        </row>
        <row r="52">
          <cell r="B52">
            <v>500000</v>
          </cell>
          <cell r="C52">
            <v>0</v>
          </cell>
          <cell r="D52">
            <v>500000</v>
          </cell>
          <cell r="N52">
            <v>0</v>
          </cell>
          <cell r="O52">
            <v>0</v>
          </cell>
          <cell r="X52">
            <v>500000</v>
          </cell>
          <cell r="Y52">
            <v>0</v>
          </cell>
          <cell r="AH52">
            <v>0</v>
          </cell>
          <cell r="AI52">
            <v>0</v>
          </cell>
          <cell r="AR52">
            <v>0</v>
          </cell>
          <cell r="AS52">
            <v>0</v>
          </cell>
          <cell r="BB52">
            <v>0</v>
          </cell>
          <cell r="BC52">
            <v>0</v>
          </cell>
          <cell r="BD52">
            <v>500000</v>
          </cell>
          <cell r="BE52">
            <v>0</v>
          </cell>
          <cell r="BF52">
            <v>500000</v>
          </cell>
        </row>
        <row r="53">
          <cell r="B53">
            <v>600000</v>
          </cell>
          <cell r="C53">
            <v>0</v>
          </cell>
          <cell r="D53">
            <v>600000</v>
          </cell>
          <cell r="N53">
            <v>0</v>
          </cell>
          <cell r="O53">
            <v>0</v>
          </cell>
          <cell r="X53">
            <v>0</v>
          </cell>
          <cell r="Y53">
            <v>0</v>
          </cell>
          <cell r="AH53">
            <v>150000</v>
          </cell>
          <cell r="AI53">
            <v>0</v>
          </cell>
          <cell r="AR53">
            <v>0</v>
          </cell>
          <cell r="AS53">
            <v>0</v>
          </cell>
          <cell r="BB53">
            <v>450000</v>
          </cell>
          <cell r="BC53">
            <v>0</v>
          </cell>
          <cell r="BD53">
            <v>600000</v>
          </cell>
          <cell r="BE53">
            <v>0</v>
          </cell>
          <cell r="BF53">
            <v>600000</v>
          </cell>
        </row>
        <row r="54">
          <cell r="B54">
            <v>600000</v>
          </cell>
          <cell r="C54">
            <v>0</v>
          </cell>
          <cell r="D54">
            <v>600000</v>
          </cell>
          <cell r="N54">
            <v>120000</v>
          </cell>
          <cell r="O54">
            <v>0</v>
          </cell>
          <cell r="X54">
            <v>120000</v>
          </cell>
          <cell r="Y54">
            <v>0</v>
          </cell>
          <cell r="AH54">
            <v>120000</v>
          </cell>
          <cell r="AI54">
            <v>0</v>
          </cell>
          <cell r="AR54">
            <v>120000</v>
          </cell>
          <cell r="AS54">
            <v>0</v>
          </cell>
          <cell r="BB54">
            <v>120000</v>
          </cell>
          <cell r="BC54">
            <v>0</v>
          </cell>
          <cell r="BD54">
            <v>600000</v>
          </cell>
          <cell r="BE54">
            <v>0</v>
          </cell>
          <cell r="BF54">
            <v>600000</v>
          </cell>
        </row>
        <row r="55">
          <cell r="B55">
            <v>0</v>
          </cell>
          <cell r="C55">
            <v>915000</v>
          </cell>
          <cell r="D55">
            <v>915000</v>
          </cell>
          <cell r="N55">
            <v>0</v>
          </cell>
          <cell r="O55">
            <v>915000</v>
          </cell>
          <cell r="X55">
            <v>0</v>
          </cell>
          <cell r="Y55">
            <v>0</v>
          </cell>
          <cell r="AH55">
            <v>0</v>
          </cell>
          <cell r="AI55">
            <v>0</v>
          </cell>
          <cell r="AR55">
            <v>0</v>
          </cell>
          <cell r="AS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915000</v>
          </cell>
          <cell r="BF55">
            <v>915000</v>
          </cell>
        </row>
        <row r="56">
          <cell r="B56">
            <v>0</v>
          </cell>
          <cell r="C56">
            <v>0</v>
          </cell>
          <cell r="D56">
            <v>0</v>
          </cell>
          <cell r="N56">
            <v>0</v>
          </cell>
          <cell r="O56">
            <v>0</v>
          </cell>
          <cell r="X56">
            <v>0</v>
          </cell>
          <cell r="Y56">
            <v>0</v>
          </cell>
          <cell r="AH56">
            <v>0</v>
          </cell>
          <cell r="AI56">
            <v>0</v>
          </cell>
          <cell r="AR56">
            <v>0</v>
          </cell>
          <cell r="AS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N57">
            <v>0</v>
          </cell>
          <cell r="O57">
            <v>0</v>
          </cell>
          <cell r="X57">
            <v>0</v>
          </cell>
          <cell r="Y57">
            <v>0</v>
          </cell>
          <cell r="AH57">
            <v>0</v>
          </cell>
          <cell r="AI57">
            <v>0</v>
          </cell>
          <cell r="AR57">
            <v>0</v>
          </cell>
          <cell r="AS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N58">
            <v>0</v>
          </cell>
          <cell r="O58">
            <v>0</v>
          </cell>
          <cell r="X58">
            <v>0</v>
          </cell>
          <cell r="Y58">
            <v>0</v>
          </cell>
          <cell r="AH58">
            <v>0</v>
          </cell>
          <cell r="AI58">
            <v>0</v>
          </cell>
          <cell r="AR58">
            <v>0</v>
          </cell>
          <cell r="AS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N59">
            <v>0</v>
          </cell>
          <cell r="O59">
            <v>0</v>
          </cell>
          <cell r="X59">
            <v>0</v>
          </cell>
          <cell r="Y59">
            <v>0</v>
          </cell>
          <cell r="AH59">
            <v>0</v>
          </cell>
          <cell r="AI59">
            <v>0</v>
          </cell>
          <cell r="AR59">
            <v>0</v>
          </cell>
          <cell r="AS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N60">
            <v>0</v>
          </cell>
          <cell r="O60">
            <v>0</v>
          </cell>
          <cell r="X60">
            <v>0</v>
          </cell>
          <cell r="Y60">
            <v>0</v>
          </cell>
          <cell r="AH60">
            <v>0</v>
          </cell>
          <cell r="AI60">
            <v>0</v>
          </cell>
          <cell r="AR60">
            <v>0</v>
          </cell>
          <cell r="AS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</row>
        <row r="61">
          <cell r="B61">
            <v>0</v>
          </cell>
          <cell r="C61">
            <v>500000</v>
          </cell>
          <cell r="D61">
            <v>500000</v>
          </cell>
          <cell r="N61">
            <v>0</v>
          </cell>
          <cell r="O61">
            <v>500000</v>
          </cell>
          <cell r="X61">
            <v>0</v>
          </cell>
          <cell r="Y61">
            <v>0</v>
          </cell>
          <cell r="AH61">
            <v>0</v>
          </cell>
          <cell r="AI61">
            <v>0</v>
          </cell>
          <cell r="AR61">
            <v>0</v>
          </cell>
          <cell r="AS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500000</v>
          </cell>
          <cell r="BF61">
            <v>500000</v>
          </cell>
        </row>
        <row r="62">
          <cell r="B62">
            <v>0</v>
          </cell>
          <cell r="C62">
            <v>415000</v>
          </cell>
          <cell r="D62">
            <v>415000</v>
          </cell>
          <cell r="N62">
            <v>0</v>
          </cell>
          <cell r="O62">
            <v>415000</v>
          </cell>
          <cell r="X62">
            <v>0</v>
          </cell>
          <cell r="Y62">
            <v>0</v>
          </cell>
          <cell r="AH62">
            <v>0</v>
          </cell>
          <cell r="AI62">
            <v>0</v>
          </cell>
          <cell r="AR62">
            <v>0</v>
          </cell>
          <cell r="AS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415000</v>
          </cell>
          <cell r="BF62">
            <v>415000</v>
          </cell>
        </row>
        <row r="63">
          <cell r="B63">
            <v>6463492</v>
          </cell>
          <cell r="C63">
            <v>0</v>
          </cell>
          <cell r="D63">
            <v>6463492</v>
          </cell>
          <cell r="N63">
            <v>850593</v>
          </cell>
          <cell r="O63">
            <v>0</v>
          </cell>
          <cell r="X63">
            <v>1550360</v>
          </cell>
          <cell r="Y63">
            <v>0</v>
          </cell>
          <cell r="AH63">
            <v>2800000</v>
          </cell>
          <cell r="AI63">
            <v>0</v>
          </cell>
          <cell r="AR63">
            <v>1262539</v>
          </cell>
          <cell r="AS63">
            <v>0</v>
          </cell>
          <cell r="BB63">
            <v>0</v>
          </cell>
          <cell r="BC63">
            <v>0</v>
          </cell>
          <cell r="BD63">
            <v>6463492</v>
          </cell>
          <cell r="BE63">
            <v>0</v>
          </cell>
          <cell r="BF63">
            <v>6463492</v>
          </cell>
        </row>
        <row r="64">
          <cell r="B64">
            <v>7080000</v>
          </cell>
          <cell r="C64">
            <v>6280000</v>
          </cell>
          <cell r="D64">
            <v>13360000</v>
          </cell>
          <cell r="N64">
            <v>2680000</v>
          </cell>
          <cell r="O64">
            <v>5558125</v>
          </cell>
          <cell r="X64">
            <v>4400000</v>
          </cell>
          <cell r="Y64">
            <v>721875</v>
          </cell>
          <cell r="AH64">
            <v>0</v>
          </cell>
          <cell r="AI64">
            <v>0</v>
          </cell>
          <cell r="AR64">
            <v>0</v>
          </cell>
          <cell r="AS64">
            <v>0</v>
          </cell>
          <cell r="BB64">
            <v>0</v>
          </cell>
          <cell r="BC64">
            <v>0</v>
          </cell>
          <cell r="BD64">
            <v>7080000</v>
          </cell>
          <cell r="BE64">
            <v>6280000</v>
          </cell>
          <cell r="BF64">
            <v>13360000</v>
          </cell>
        </row>
        <row r="65">
          <cell r="B65">
            <v>680000</v>
          </cell>
          <cell r="C65">
            <v>6280000</v>
          </cell>
          <cell r="D65">
            <v>6960000</v>
          </cell>
          <cell r="N65">
            <v>680000</v>
          </cell>
          <cell r="O65">
            <v>5558125</v>
          </cell>
          <cell r="X65">
            <v>0</v>
          </cell>
          <cell r="Y65">
            <v>721875</v>
          </cell>
          <cell r="AH65">
            <v>0</v>
          </cell>
          <cell r="AI65">
            <v>0</v>
          </cell>
          <cell r="AR65">
            <v>0</v>
          </cell>
          <cell r="AS65">
            <v>0</v>
          </cell>
          <cell r="BB65">
            <v>0</v>
          </cell>
          <cell r="BC65">
            <v>0</v>
          </cell>
          <cell r="BD65">
            <v>680000</v>
          </cell>
          <cell r="BE65">
            <v>6280000</v>
          </cell>
          <cell r="BF65">
            <v>6960000</v>
          </cell>
        </row>
        <row r="66">
          <cell r="B66">
            <v>6400000</v>
          </cell>
          <cell r="C66">
            <v>0</v>
          </cell>
          <cell r="D66">
            <v>6400000</v>
          </cell>
          <cell r="N66">
            <v>2000000</v>
          </cell>
          <cell r="O66">
            <v>0</v>
          </cell>
          <cell r="X66">
            <v>4400000</v>
          </cell>
          <cell r="Y66">
            <v>0</v>
          </cell>
          <cell r="AH66">
            <v>0</v>
          </cell>
          <cell r="AI66">
            <v>0</v>
          </cell>
          <cell r="AR66">
            <v>0</v>
          </cell>
          <cell r="AS66">
            <v>0</v>
          </cell>
          <cell r="BB66">
            <v>0</v>
          </cell>
          <cell r="BC66">
            <v>0</v>
          </cell>
          <cell r="BD66">
            <v>6400000</v>
          </cell>
          <cell r="BE66">
            <v>0</v>
          </cell>
          <cell r="BF66">
            <v>6400000</v>
          </cell>
        </row>
        <row r="67">
          <cell r="B67">
            <v>255680000.18000001</v>
          </cell>
          <cell r="C67">
            <v>255679999.69799998</v>
          </cell>
          <cell r="D67">
            <v>511359999.87800002</v>
          </cell>
          <cell r="N67">
            <v>73561735.480000004</v>
          </cell>
          <cell r="O67">
            <v>105549936.278</v>
          </cell>
          <cell r="X67">
            <v>110281823.74000001</v>
          </cell>
          <cell r="Y67">
            <v>51798758.57</v>
          </cell>
          <cell r="AH67">
            <v>54733722.829999998</v>
          </cell>
          <cell r="AI67">
            <v>98331304.849999994</v>
          </cell>
          <cell r="AR67">
            <v>11435869</v>
          </cell>
          <cell r="AS67">
            <v>0</v>
          </cell>
          <cell r="BB67">
            <v>5666849</v>
          </cell>
          <cell r="BC67">
            <v>0</v>
          </cell>
          <cell r="BD67">
            <v>255680000.05000001</v>
          </cell>
          <cell r="BE67">
            <v>255679999.69800001</v>
          </cell>
          <cell r="BF67">
            <v>511359999.74799997</v>
          </cell>
        </row>
        <row r="68">
          <cell r="B68">
            <v>255680000</v>
          </cell>
          <cell r="C68">
            <v>255680000</v>
          </cell>
          <cell r="D68">
            <v>511360000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P Aracaju"/>
      <sheetName val="POA em Dólar Fechada"/>
      <sheetName val="POA Real Fechada"/>
      <sheetName val="Simulação Real Aberta"/>
    </sheetNames>
    <sheetDataSet>
      <sheetData sheetId="0"/>
      <sheetData sheetId="1"/>
      <sheetData sheetId="2">
        <row r="4">
          <cell r="B4">
            <v>71179436.229999989</v>
          </cell>
        </row>
      </sheetData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25000</v>
          </cell>
          <cell r="Q8">
            <v>0</v>
          </cell>
          <cell r="R8">
            <v>25000</v>
          </cell>
          <cell r="S8">
            <v>0</v>
          </cell>
          <cell r="T8">
            <v>50000</v>
          </cell>
          <cell r="U8">
            <v>0</v>
          </cell>
          <cell r="V8">
            <v>50000</v>
          </cell>
          <cell r="W8">
            <v>0</v>
          </cell>
          <cell r="X8">
            <v>150000</v>
          </cell>
          <cell r="Y8">
            <v>0</v>
          </cell>
          <cell r="Z8">
            <v>75000</v>
          </cell>
          <cell r="AA8">
            <v>0</v>
          </cell>
          <cell r="AB8">
            <v>75000</v>
          </cell>
          <cell r="AC8">
            <v>0</v>
          </cell>
          <cell r="AD8">
            <v>100000</v>
          </cell>
          <cell r="AE8">
            <v>0</v>
          </cell>
          <cell r="AF8">
            <v>100000</v>
          </cell>
          <cell r="AG8">
            <v>0</v>
          </cell>
          <cell r="AH8">
            <v>350000</v>
          </cell>
          <cell r="AI8">
            <v>0</v>
          </cell>
          <cell r="AJ8">
            <v>100000</v>
          </cell>
          <cell r="AK8">
            <v>0</v>
          </cell>
          <cell r="AL8">
            <v>100000</v>
          </cell>
          <cell r="AM8">
            <v>0</v>
          </cell>
          <cell r="AN8">
            <v>100000</v>
          </cell>
          <cell r="AO8">
            <v>0</v>
          </cell>
          <cell r="AP8">
            <v>100000</v>
          </cell>
          <cell r="AQ8">
            <v>0</v>
          </cell>
          <cell r="AR8">
            <v>400000</v>
          </cell>
          <cell r="AS8">
            <v>0</v>
          </cell>
          <cell r="AT8">
            <v>100000</v>
          </cell>
          <cell r="AU8">
            <v>0</v>
          </cell>
          <cell r="AV8">
            <v>100000</v>
          </cell>
          <cell r="AW8">
            <v>0</v>
          </cell>
          <cell r="AX8">
            <v>100000</v>
          </cell>
          <cell r="AY8">
            <v>0</v>
          </cell>
          <cell r="AZ8">
            <v>50000</v>
          </cell>
          <cell r="BA8">
            <v>0</v>
          </cell>
          <cell r="BB8">
            <v>350000</v>
          </cell>
          <cell r="BC8">
            <v>0</v>
          </cell>
          <cell r="BD8">
            <v>1250000</v>
          </cell>
          <cell r="BE8">
            <v>0</v>
          </cell>
          <cell r="BF8">
            <v>1250000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15862000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15862000</v>
          </cell>
          <cell r="BF9">
            <v>15862000</v>
          </cell>
        </row>
        <row r="13">
          <cell r="O13">
            <v>15755122</v>
          </cell>
        </row>
        <row r="15">
          <cell r="O15">
            <v>11094092.415999999</v>
          </cell>
        </row>
        <row r="16">
          <cell r="O16">
            <v>3900000</v>
          </cell>
        </row>
        <row r="17">
          <cell r="O17">
            <v>634383.39</v>
          </cell>
        </row>
        <row r="18">
          <cell r="O18">
            <v>13381453.880000001</v>
          </cell>
        </row>
        <row r="19">
          <cell r="O19">
            <v>8992956.9900000002</v>
          </cell>
        </row>
        <row r="20">
          <cell r="O20">
            <v>1133180.29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331802.592</v>
          </cell>
          <cell r="U21">
            <v>0</v>
          </cell>
          <cell r="V21">
            <v>453157.408</v>
          </cell>
          <cell r="W21">
            <v>0</v>
          </cell>
          <cell r="X21">
            <v>784960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784960</v>
          </cell>
          <cell r="BE21">
            <v>0</v>
          </cell>
          <cell r="BF21">
            <v>784960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671399.8</v>
          </cell>
          <cell r="U22">
            <v>0</v>
          </cell>
          <cell r="V22">
            <v>41490.199999999997</v>
          </cell>
          <cell r="W22">
            <v>0</v>
          </cell>
          <cell r="X22">
            <v>712890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712890</v>
          </cell>
          <cell r="BE22">
            <v>0</v>
          </cell>
          <cell r="BF22">
            <v>712890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839248.35</v>
          </cell>
          <cell r="U23">
            <v>0</v>
          </cell>
          <cell r="V23">
            <v>105200.83</v>
          </cell>
          <cell r="W23">
            <v>0</v>
          </cell>
          <cell r="X23">
            <v>944449.17999999993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944449.17999999993</v>
          </cell>
          <cell r="BE23">
            <v>0</v>
          </cell>
          <cell r="BF23">
            <v>944449.17999999993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473645</v>
          </cell>
          <cell r="U24">
            <v>0</v>
          </cell>
          <cell r="V24">
            <v>81429</v>
          </cell>
          <cell r="W24">
            <v>0</v>
          </cell>
          <cell r="X24">
            <v>555074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555074</v>
          </cell>
          <cell r="BE24">
            <v>0</v>
          </cell>
          <cell r="BF24">
            <v>555074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286890.48119999998</v>
          </cell>
          <cell r="U25">
            <v>0</v>
          </cell>
          <cell r="V25">
            <v>391818.9388</v>
          </cell>
          <cell r="W25">
            <v>0</v>
          </cell>
          <cell r="X25">
            <v>678709.41999999993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678709.41999999993</v>
          </cell>
          <cell r="BE25">
            <v>0</v>
          </cell>
          <cell r="BF25">
            <v>678709.41999999993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587963.44999999995</v>
          </cell>
          <cell r="U26">
            <v>0</v>
          </cell>
          <cell r="V26">
            <v>640543.55000000005</v>
          </cell>
          <cell r="W26">
            <v>0</v>
          </cell>
          <cell r="X26">
            <v>1228507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1228507</v>
          </cell>
          <cell r="BE26">
            <v>0</v>
          </cell>
          <cell r="BF26">
            <v>1228507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398831.04</v>
          </cell>
          <cell r="U27">
            <v>0</v>
          </cell>
          <cell r="V27">
            <v>398831.04</v>
          </cell>
          <cell r="W27">
            <v>0</v>
          </cell>
          <cell r="X27">
            <v>797662.08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797662.08</v>
          </cell>
          <cell r="BE27">
            <v>0</v>
          </cell>
          <cell r="BF27">
            <v>797662.08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393122.24</v>
          </cell>
          <cell r="U28">
            <v>0</v>
          </cell>
          <cell r="V28">
            <v>393122.24</v>
          </cell>
          <cell r="W28">
            <v>0</v>
          </cell>
          <cell r="X28">
            <v>786244.48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786244.48</v>
          </cell>
          <cell r="BE28">
            <v>0</v>
          </cell>
          <cell r="BF28">
            <v>786244.48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277536.88</v>
          </cell>
          <cell r="U29">
            <v>0</v>
          </cell>
          <cell r="V29">
            <v>277536.88</v>
          </cell>
          <cell r="W29">
            <v>0</v>
          </cell>
          <cell r="X29">
            <v>555073.76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555073.76</v>
          </cell>
          <cell r="BE29">
            <v>0</v>
          </cell>
          <cell r="BF29">
            <v>555073.76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249760</v>
          </cell>
          <cell r="U30">
            <v>0</v>
          </cell>
          <cell r="V30">
            <v>249760</v>
          </cell>
          <cell r="W30">
            <v>0</v>
          </cell>
          <cell r="X30">
            <v>499520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499520</v>
          </cell>
          <cell r="BE30">
            <v>0</v>
          </cell>
          <cell r="BF30">
            <v>499520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234150</v>
          </cell>
          <cell r="K31">
            <v>0</v>
          </cell>
          <cell r="L31">
            <v>78050</v>
          </cell>
          <cell r="M31">
            <v>0</v>
          </cell>
          <cell r="N31">
            <v>312200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312200</v>
          </cell>
          <cell r="BE31">
            <v>0</v>
          </cell>
          <cell r="BF31">
            <v>312200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414780</v>
          </cell>
          <cell r="K32">
            <v>0</v>
          </cell>
          <cell r="L32">
            <v>138260</v>
          </cell>
          <cell r="M32">
            <v>0</v>
          </cell>
          <cell r="N32">
            <v>553040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553040</v>
          </cell>
          <cell r="BE32">
            <v>0</v>
          </cell>
          <cell r="BF32">
            <v>553040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1000000</v>
          </cell>
          <cell r="K34">
            <v>0</v>
          </cell>
          <cell r="L34">
            <v>1598716.9100000001</v>
          </cell>
          <cell r="M34">
            <v>0</v>
          </cell>
          <cell r="N34">
            <v>2598716.91</v>
          </cell>
          <cell r="O34">
            <v>0</v>
          </cell>
          <cell r="P34">
            <v>1000000</v>
          </cell>
          <cell r="Q34">
            <v>0</v>
          </cell>
          <cell r="R34">
            <v>1000000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2000000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4598716.91</v>
          </cell>
          <cell r="BE34">
            <v>0</v>
          </cell>
          <cell r="BF34">
            <v>4598716.91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556106</v>
          </cell>
          <cell r="K35">
            <v>0</v>
          </cell>
          <cell r="L35">
            <v>556106</v>
          </cell>
          <cell r="M35">
            <v>0</v>
          </cell>
          <cell r="N35">
            <v>1112212</v>
          </cell>
          <cell r="O35">
            <v>0</v>
          </cell>
          <cell r="P35">
            <v>370738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370738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1482950</v>
          </cell>
          <cell r="BE35">
            <v>0</v>
          </cell>
          <cell r="BF35">
            <v>1482950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6320642.5700000003</v>
          </cell>
          <cell r="N36">
            <v>0</v>
          </cell>
          <cell r="O36">
            <v>6320642.5700000003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6320642.5700000003</v>
          </cell>
          <cell r="X36">
            <v>0</v>
          </cell>
          <cell r="Y36">
            <v>6320642.5700000003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6320642.5700000003</v>
          </cell>
          <cell r="AH36">
            <v>0</v>
          </cell>
          <cell r="AI36">
            <v>6320642.5700000003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18961927.710000001</v>
          </cell>
          <cell r="BF36">
            <v>18961927.710000001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800000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800000</v>
          </cell>
          <cell r="BF37">
            <v>800000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421142.57</v>
          </cell>
          <cell r="M38">
            <v>0</v>
          </cell>
          <cell r="N38">
            <v>421142.57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421142.57</v>
          </cell>
          <cell r="BE38">
            <v>0</v>
          </cell>
          <cell r="BF38">
            <v>421142.57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889365.25</v>
          </cell>
          <cell r="W39">
            <v>0</v>
          </cell>
          <cell r="X39">
            <v>889365.25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889365.25</v>
          </cell>
          <cell r="BE39">
            <v>0</v>
          </cell>
          <cell r="BF39">
            <v>889365.25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1328874.4099999999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1328874.4099999999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1328874.4099999999</v>
          </cell>
          <cell r="BE40">
            <v>0</v>
          </cell>
          <cell r="BF40">
            <v>1328874.4099999999</v>
          </cell>
        </row>
        <row r="41">
          <cell r="C41">
            <v>413572.17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413572.17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413572.17</v>
          </cell>
          <cell r="BF41">
            <v>413572.17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5697644.4699999997</v>
          </cell>
          <cell r="W42">
            <v>0</v>
          </cell>
          <cell r="X42">
            <v>5697644.4699999997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5697644.4699999997</v>
          </cell>
          <cell r="BE42">
            <v>0</v>
          </cell>
          <cell r="BF42">
            <v>5697644.4699999997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2000000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2000000</v>
          </cell>
          <cell r="BF43">
            <v>2000000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14894000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14894000</v>
          </cell>
          <cell r="BE48">
            <v>0</v>
          </cell>
          <cell r="BF48">
            <v>14894000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21830242</v>
          </cell>
          <cell r="O49">
            <v>15612726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21830242</v>
          </cell>
          <cell r="BE49">
            <v>15612726</v>
          </cell>
          <cell r="BF49">
            <v>37442968</v>
          </cell>
        </row>
        <row r="51">
          <cell r="F51">
            <v>0</v>
          </cell>
          <cell r="G51">
            <v>6157021.0999999996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6157021.0999999996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6157021.0999999996</v>
          </cell>
          <cell r="BF51">
            <v>6157021.0999999996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3640847.5520000006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3640847.5520000006</v>
          </cell>
          <cell r="BF52">
            <v>3640847.5520000006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28894241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28894241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57788482</v>
          </cell>
          <cell r="BF53">
            <v>57788482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1442863.2640000002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1442863.2640000002</v>
          </cell>
          <cell r="BF54">
            <v>1442863.2640000002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724732.25600000005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724732.25600000005</v>
          </cell>
          <cell r="BF55">
            <v>724732.25600000005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1655042.4000000001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1655042.4000000001</v>
          </cell>
          <cell r="BF56">
            <v>1655042.4000000001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63116421.280000001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63116421.280000001</v>
          </cell>
          <cell r="BF57">
            <v>63116421.280000001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296455.08333333331</v>
          </cell>
          <cell r="S59">
            <v>0</v>
          </cell>
          <cell r="T59">
            <v>296455.08333333331</v>
          </cell>
          <cell r="U59">
            <v>0</v>
          </cell>
          <cell r="V59">
            <v>296455.08333333331</v>
          </cell>
          <cell r="W59">
            <v>0</v>
          </cell>
          <cell r="X59">
            <v>889365.25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889365.25</v>
          </cell>
          <cell r="BE59">
            <v>0</v>
          </cell>
          <cell r="BF59">
            <v>889365.25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168725.81400000001</v>
          </cell>
          <cell r="U60">
            <v>0</v>
          </cell>
          <cell r="V60">
            <v>256597.62599999999</v>
          </cell>
          <cell r="W60">
            <v>0</v>
          </cell>
          <cell r="X60">
            <v>425323.44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425323.44</v>
          </cell>
          <cell r="BE60">
            <v>0</v>
          </cell>
          <cell r="BF60">
            <v>425323.44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400000</v>
          </cell>
          <cell r="S61">
            <v>0</v>
          </cell>
          <cell r="T61">
            <v>450000</v>
          </cell>
          <cell r="U61">
            <v>0</v>
          </cell>
          <cell r="V61">
            <v>478874.40999999992</v>
          </cell>
          <cell r="W61">
            <v>0</v>
          </cell>
          <cell r="X61">
            <v>1328874.4099999999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1328874.4099999999</v>
          </cell>
          <cell r="BE61">
            <v>0</v>
          </cell>
          <cell r="BF61">
            <v>1328874.4099999999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558000</v>
          </cell>
          <cell r="U62">
            <v>0</v>
          </cell>
          <cell r="V62">
            <v>800000</v>
          </cell>
          <cell r="W62">
            <v>0</v>
          </cell>
          <cell r="X62">
            <v>1358000</v>
          </cell>
          <cell r="Y62">
            <v>0</v>
          </cell>
          <cell r="Z62">
            <v>1200000</v>
          </cell>
          <cell r="AA62">
            <v>0</v>
          </cell>
          <cell r="AB62">
            <v>1200000</v>
          </cell>
          <cell r="AC62">
            <v>0</v>
          </cell>
          <cell r="AD62">
            <v>1200000</v>
          </cell>
          <cell r="AE62">
            <v>0</v>
          </cell>
          <cell r="AF62">
            <v>739644.46999999974</v>
          </cell>
          <cell r="AG62">
            <v>0</v>
          </cell>
          <cell r="AH62">
            <v>4339644.47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5697644.4699999997</v>
          </cell>
          <cell r="BE62">
            <v>0</v>
          </cell>
          <cell r="BF62">
            <v>5697644.4699999997</v>
          </cell>
        </row>
        <row r="63">
          <cell r="F63">
            <v>0</v>
          </cell>
          <cell r="G63">
            <v>2704012</v>
          </cell>
          <cell r="H63">
            <v>0</v>
          </cell>
          <cell r="I63">
            <v>917799.98499999999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4882000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4882000</v>
          </cell>
          <cell r="BF63">
            <v>4882000</v>
          </cell>
        </row>
        <row r="64">
          <cell r="F64">
            <v>0</v>
          </cell>
          <cell r="G64">
            <v>536175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536175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536175</v>
          </cell>
          <cell r="BF64">
            <v>536175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536250</v>
          </cell>
          <cell r="AM66">
            <v>0</v>
          </cell>
          <cell r="AN66">
            <v>736250</v>
          </cell>
          <cell r="AO66">
            <v>0</v>
          </cell>
          <cell r="AP66">
            <v>836250</v>
          </cell>
          <cell r="AQ66">
            <v>0</v>
          </cell>
          <cell r="AR66">
            <v>2108750</v>
          </cell>
          <cell r="AS66">
            <v>0</v>
          </cell>
          <cell r="AT66">
            <v>836250</v>
          </cell>
          <cell r="AU66">
            <v>0</v>
          </cell>
          <cell r="AV66">
            <v>400000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1236250</v>
          </cell>
          <cell r="BC66">
            <v>0</v>
          </cell>
          <cell r="BD66">
            <v>3345000</v>
          </cell>
          <cell r="BE66">
            <v>0</v>
          </cell>
          <cell r="BF66">
            <v>3345000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958900</v>
          </cell>
          <cell r="U67">
            <v>0</v>
          </cell>
          <cell r="V67">
            <v>1350680</v>
          </cell>
          <cell r="W67">
            <v>0</v>
          </cell>
          <cell r="X67">
            <v>2309580</v>
          </cell>
          <cell r="Y67">
            <v>0</v>
          </cell>
          <cell r="Z67">
            <v>1942460</v>
          </cell>
          <cell r="AA67">
            <v>0</v>
          </cell>
          <cell r="AB67">
            <v>2138350</v>
          </cell>
          <cell r="AC67">
            <v>0</v>
          </cell>
          <cell r="AD67">
            <v>2042460</v>
          </cell>
          <cell r="AE67">
            <v>0</v>
          </cell>
          <cell r="AF67">
            <v>1946570</v>
          </cell>
          <cell r="AG67">
            <v>0</v>
          </cell>
          <cell r="AH67">
            <v>8069840</v>
          </cell>
          <cell r="AI67">
            <v>0</v>
          </cell>
          <cell r="AJ67">
            <v>1750680</v>
          </cell>
          <cell r="AK67">
            <v>0</v>
          </cell>
          <cell r="AL67">
            <v>1458900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3209580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13589000</v>
          </cell>
          <cell r="BE67">
            <v>0</v>
          </cell>
          <cell r="BF67">
            <v>13589000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350000</v>
          </cell>
          <cell r="M71">
            <v>0</v>
          </cell>
          <cell r="N71">
            <v>350000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350000</v>
          </cell>
          <cell r="BE71">
            <v>0</v>
          </cell>
          <cell r="BF71">
            <v>350000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100000</v>
          </cell>
          <cell r="U72">
            <v>0</v>
          </cell>
          <cell r="V72">
            <v>100000</v>
          </cell>
          <cell r="W72">
            <v>0</v>
          </cell>
          <cell r="X72">
            <v>200000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200000</v>
          </cell>
          <cell r="BE72">
            <v>0</v>
          </cell>
          <cell r="BF72">
            <v>200000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360000</v>
          </cell>
          <cell r="M73">
            <v>0</v>
          </cell>
          <cell r="N73">
            <v>360000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360000</v>
          </cell>
          <cell r="BE73">
            <v>0</v>
          </cell>
          <cell r="BF73">
            <v>360000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350000</v>
          </cell>
          <cell r="W74">
            <v>0</v>
          </cell>
          <cell r="X74">
            <v>350000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350000</v>
          </cell>
          <cell r="BE74">
            <v>0</v>
          </cell>
          <cell r="BF74">
            <v>350000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346500</v>
          </cell>
          <cell r="U76">
            <v>0</v>
          </cell>
          <cell r="V76">
            <v>334500</v>
          </cell>
          <cell r="W76">
            <v>0</v>
          </cell>
          <cell r="X76">
            <v>681000</v>
          </cell>
          <cell r="Y76">
            <v>0</v>
          </cell>
          <cell r="Z76">
            <v>334500</v>
          </cell>
          <cell r="AA76">
            <v>0</v>
          </cell>
          <cell r="AB76">
            <v>334500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669000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1350000</v>
          </cell>
          <cell r="BE76">
            <v>0</v>
          </cell>
          <cell r="BF76">
            <v>1350000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669000</v>
          </cell>
          <cell r="U77">
            <v>0</v>
          </cell>
          <cell r="V77">
            <v>892000</v>
          </cell>
          <cell r="W77">
            <v>0</v>
          </cell>
          <cell r="X77">
            <v>1561000</v>
          </cell>
          <cell r="Y77">
            <v>0</v>
          </cell>
          <cell r="Z77">
            <v>669000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669000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2230000</v>
          </cell>
          <cell r="BE77">
            <v>0</v>
          </cell>
          <cell r="BF77">
            <v>2230000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7574626</v>
          </cell>
          <cell r="K80">
            <v>0</v>
          </cell>
          <cell r="L80">
            <v>17482699</v>
          </cell>
          <cell r="M80">
            <v>0</v>
          </cell>
          <cell r="N80">
            <v>25057325</v>
          </cell>
          <cell r="O80">
            <v>0</v>
          </cell>
          <cell r="P80">
            <v>15546133</v>
          </cell>
          <cell r="Q80">
            <v>0</v>
          </cell>
          <cell r="R80">
            <v>18506547</v>
          </cell>
          <cell r="S80">
            <v>0</v>
          </cell>
          <cell r="T80">
            <v>17850711</v>
          </cell>
          <cell r="U80">
            <v>0</v>
          </cell>
          <cell r="V80">
            <v>19713993</v>
          </cell>
          <cell r="W80">
            <v>0</v>
          </cell>
          <cell r="X80">
            <v>71617384</v>
          </cell>
          <cell r="Y80">
            <v>0</v>
          </cell>
          <cell r="Z80">
            <v>16730636</v>
          </cell>
          <cell r="AA80">
            <v>0</v>
          </cell>
          <cell r="AB80">
            <v>15131727.949999999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31862363.949999999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128537072.95</v>
          </cell>
          <cell r="BE80">
            <v>0</v>
          </cell>
          <cell r="BF80">
            <v>128537072.95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4985305</v>
          </cell>
          <cell r="K81">
            <v>0</v>
          </cell>
          <cell r="L81">
            <v>9732588</v>
          </cell>
          <cell r="M81">
            <v>0</v>
          </cell>
          <cell r="N81">
            <v>14717893</v>
          </cell>
          <cell r="O81">
            <v>0</v>
          </cell>
          <cell r="P81">
            <v>7700812</v>
          </cell>
          <cell r="Q81">
            <v>0</v>
          </cell>
          <cell r="R81">
            <v>10965333</v>
          </cell>
          <cell r="S81">
            <v>0</v>
          </cell>
          <cell r="T81">
            <v>10200501</v>
          </cell>
          <cell r="U81">
            <v>0</v>
          </cell>
          <cell r="V81">
            <v>10801742</v>
          </cell>
          <cell r="W81">
            <v>0</v>
          </cell>
          <cell r="X81">
            <v>39668388</v>
          </cell>
          <cell r="Y81">
            <v>0</v>
          </cell>
          <cell r="Z81">
            <v>10909584</v>
          </cell>
          <cell r="AA81">
            <v>0</v>
          </cell>
          <cell r="AB81">
            <v>8397843.0899999999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19307427.09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73693708.090000004</v>
          </cell>
          <cell r="BE81">
            <v>0</v>
          </cell>
          <cell r="BF81">
            <v>73693708.090000004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2589321</v>
          </cell>
          <cell r="K82">
            <v>0</v>
          </cell>
          <cell r="L82">
            <v>7750111</v>
          </cell>
          <cell r="M82">
            <v>0</v>
          </cell>
          <cell r="N82">
            <v>10339432</v>
          </cell>
          <cell r="O82">
            <v>0</v>
          </cell>
          <cell r="P82">
            <v>7845321</v>
          </cell>
          <cell r="Q82">
            <v>0</v>
          </cell>
          <cell r="R82">
            <v>7541214</v>
          </cell>
          <cell r="S82">
            <v>0</v>
          </cell>
          <cell r="T82">
            <v>7650210</v>
          </cell>
          <cell r="U82">
            <v>0</v>
          </cell>
          <cell r="V82">
            <v>8412251</v>
          </cell>
          <cell r="W82">
            <v>0</v>
          </cell>
          <cell r="X82">
            <v>31448996</v>
          </cell>
          <cell r="Y82">
            <v>0</v>
          </cell>
          <cell r="Z82">
            <v>4490222</v>
          </cell>
          <cell r="AA82">
            <v>0</v>
          </cell>
          <cell r="AB82">
            <v>4420931.1399999997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8911153.1400000006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50699581.140000001</v>
          </cell>
          <cell r="BE82">
            <v>0</v>
          </cell>
          <cell r="BF82">
            <v>50699581.140000001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500000</v>
          </cell>
          <cell r="W84">
            <v>0</v>
          </cell>
          <cell r="X84">
            <v>500000</v>
          </cell>
          <cell r="Y84">
            <v>0</v>
          </cell>
          <cell r="Z84">
            <v>650000</v>
          </cell>
          <cell r="AA84">
            <v>0</v>
          </cell>
          <cell r="AB84">
            <v>425577.35000000009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1075577.3500000001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1575577.35</v>
          </cell>
          <cell r="BE84">
            <v>0</v>
          </cell>
          <cell r="BF84">
            <v>1575577.35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290330</v>
          </cell>
          <cell r="AA85">
            <v>0</v>
          </cell>
          <cell r="AB85">
            <v>1004002.74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1294332.74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1294332.74</v>
          </cell>
          <cell r="BE85">
            <v>0</v>
          </cell>
          <cell r="BF85">
            <v>1294332.74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390500</v>
          </cell>
          <cell r="AA86">
            <v>0</v>
          </cell>
          <cell r="AB86">
            <v>883373.62999999989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1273873.6299999999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1273873.6299999999</v>
          </cell>
          <cell r="BE86">
            <v>0</v>
          </cell>
          <cell r="BF86">
            <v>1273873.6299999999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1293800</v>
          </cell>
          <cell r="K93">
            <v>0</v>
          </cell>
          <cell r="L93">
            <v>1913393</v>
          </cell>
          <cell r="M93">
            <v>0</v>
          </cell>
          <cell r="N93">
            <v>3207193</v>
          </cell>
          <cell r="O93">
            <v>915000</v>
          </cell>
          <cell r="P93">
            <v>1692800</v>
          </cell>
          <cell r="Q93">
            <v>0</v>
          </cell>
          <cell r="R93">
            <v>1597800</v>
          </cell>
          <cell r="S93">
            <v>0</v>
          </cell>
          <cell r="T93">
            <v>1581950</v>
          </cell>
          <cell r="U93">
            <v>0</v>
          </cell>
          <cell r="V93">
            <v>1786610</v>
          </cell>
          <cell r="W93">
            <v>0</v>
          </cell>
          <cell r="X93">
            <v>6659160</v>
          </cell>
          <cell r="Y93">
            <v>0</v>
          </cell>
          <cell r="Z93">
            <v>1786250</v>
          </cell>
          <cell r="AA93">
            <v>0</v>
          </cell>
          <cell r="AB93">
            <v>1861250</v>
          </cell>
          <cell r="AC93">
            <v>0</v>
          </cell>
          <cell r="AD93">
            <v>1861250</v>
          </cell>
          <cell r="AE93">
            <v>0</v>
          </cell>
          <cell r="AF93">
            <v>1936250</v>
          </cell>
          <cell r="AG93">
            <v>0</v>
          </cell>
          <cell r="AH93">
            <v>7445000</v>
          </cell>
          <cell r="AI93">
            <v>0</v>
          </cell>
          <cell r="AJ93">
            <v>1776250</v>
          </cell>
          <cell r="AK93">
            <v>0</v>
          </cell>
          <cell r="AL93">
            <v>1638789</v>
          </cell>
          <cell r="AM93">
            <v>0</v>
          </cell>
          <cell r="AN93">
            <v>1076250</v>
          </cell>
          <cell r="AO93">
            <v>0</v>
          </cell>
          <cell r="AP93">
            <v>1226250</v>
          </cell>
          <cell r="AQ93">
            <v>0</v>
          </cell>
          <cell r="AR93">
            <v>5717539</v>
          </cell>
          <cell r="AS93">
            <v>0</v>
          </cell>
          <cell r="AT93">
            <v>976250</v>
          </cell>
          <cell r="AU93">
            <v>0</v>
          </cell>
          <cell r="AV93">
            <v>876850</v>
          </cell>
          <cell r="AW93">
            <v>0</v>
          </cell>
          <cell r="AX93">
            <v>1033750</v>
          </cell>
          <cell r="AY93">
            <v>0</v>
          </cell>
          <cell r="AZ93">
            <v>1193750</v>
          </cell>
          <cell r="BA93">
            <v>0</v>
          </cell>
          <cell r="BB93">
            <v>4080599</v>
          </cell>
          <cell r="BC93">
            <v>0</v>
          </cell>
          <cell r="BD93">
            <v>27109491</v>
          </cell>
          <cell r="BE93">
            <v>915000</v>
          </cell>
          <cell r="BF93">
            <v>28024491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245300</v>
          </cell>
          <cell r="K94">
            <v>0</v>
          </cell>
          <cell r="L94">
            <v>285300</v>
          </cell>
          <cell r="M94">
            <v>0</v>
          </cell>
          <cell r="N94">
            <v>530600</v>
          </cell>
          <cell r="O94">
            <v>0</v>
          </cell>
          <cell r="P94">
            <v>265300</v>
          </cell>
          <cell r="Q94">
            <v>0</v>
          </cell>
          <cell r="R94">
            <v>265300</v>
          </cell>
          <cell r="S94">
            <v>0</v>
          </cell>
          <cell r="T94">
            <v>265300</v>
          </cell>
          <cell r="U94">
            <v>0</v>
          </cell>
          <cell r="V94">
            <v>295300</v>
          </cell>
          <cell r="W94">
            <v>0</v>
          </cell>
          <cell r="X94">
            <v>1091200</v>
          </cell>
          <cell r="Y94">
            <v>0</v>
          </cell>
          <cell r="Z94">
            <v>265300</v>
          </cell>
          <cell r="AA94">
            <v>0</v>
          </cell>
          <cell r="AB94">
            <v>265300</v>
          </cell>
          <cell r="AC94">
            <v>0</v>
          </cell>
          <cell r="AD94">
            <v>265300</v>
          </cell>
          <cell r="AE94">
            <v>0</v>
          </cell>
          <cell r="AF94">
            <v>295300</v>
          </cell>
          <cell r="AG94">
            <v>0</v>
          </cell>
          <cell r="AH94">
            <v>1091200</v>
          </cell>
          <cell r="AI94">
            <v>0</v>
          </cell>
          <cell r="AJ94">
            <v>265300</v>
          </cell>
          <cell r="AK94">
            <v>0</v>
          </cell>
          <cell r="AL94">
            <v>265300</v>
          </cell>
          <cell r="AM94">
            <v>0</v>
          </cell>
          <cell r="AN94">
            <v>265300</v>
          </cell>
          <cell r="AO94">
            <v>0</v>
          </cell>
          <cell r="AP94">
            <v>295300</v>
          </cell>
          <cell r="AQ94">
            <v>0</v>
          </cell>
          <cell r="AR94">
            <v>1091200</v>
          </cell>
          <cell r="AS94">
            <v>0</v>
          </cell>
          <cell r="AT94">
            <v>285300</v>
          </cell>
          <cell r="AU94">
            <v>0</v>
          </cell>
          <cell r="AV94">
            <v>285900</v>
          </cell>
          <cell r="AW94">
            <v>0</v>
          </cell>
          <cell r="AX94">
            <v>265300</v>
          </cell>
          <cell r="AY94">
            <v>0</v>
          </cell>
          <cell r="AZ94">
            <v>265300</v>
          </cell>
          <cell r="BA94">
            <v>0</v>
          </cell>
          <cell r="BB94">
            <v>1101799</v>
          </cell>
          <cell r="BC94">
            <v>0</v>
          </cell>
          <cell r="BD94">
            <v>4905999</v>
          </cell>
          <cell r="BE94">
            <v>0</v>
          </cell>
          <cell r="BF94">
            <v>4905999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41000</v>
          </cell>
          <cell r="K95">
            <v>0</v>
          </cell>
          <cell r="L95">
            <v>50000</v>
          </cell>
          <cell r="M95">
            <v>0</v>
          </cell>
          <cell r="N95">
            <v>91000</v>
          </cell>
          <cell r="O95">
            <v>0</v>
          </cell>
          <cell r="P95">
            <v>50000</v>
          </cell>
          <cell r="Q95">
            <v>0</v>
          </cell>
          <cell r="R95">
            <v>45000</v>
          </cell>
          <cell r="S95">
            <v>0</v>
          </cell>
          <cell r="T95">
            <v>39150</v>
          </cell>
          <cell r="U95">
            <v>0</v>
          </cell>
          <cell r="V95">
            <v>33450</v>
          </cell>
          <cell r="W95">
            <v>0</v>
          </cell>
          <cell r="X95">
            <v>167600</v>
          </cell>
          <cell r="Y95">
            <v>0</v>
          </cell>
          <cell r="Z95">
            <v>33450</v>
          </cell>
          <cell r="AA95">
            <v>0</v>
          </cell>
          <cell r="AB95">
            <v>33450</v>
          </cell>
          <cell r="AC95">
            <v>0</v>
          </cell>
          <cell r="AD95">
            <v>33450</v>
          </cell>
          <cell r="AE95">
            <v>0</v>
          </cell>
          <cell r="AF95">
            <v>33450</v>
          </cell>
          <cell r="AG95">
            <v>0</v>
          </cell>
          <cell r="AH95">
            <v>133800</v>
          </cell>
          <cell r="AI95">
            <v>0</v>
          </cell>
          <cell r="AJ95">
            <v>33450</v>
          </cell>
          <cell r="AK95">
            <v>0</v>
          </cell>
          <cell r="AL95">
            <v>33450</v>
          </cell>
          <cell r="AM95">
            <v>0</v>
          </cell>
          <cell r="AN95">
            <v>33450</v>
          </cell>
          <cell r="AO95">
            <v>0</v>
          </cell>
          <cell r="AP95">
            <v>33450</v>
          </cell>
          <cell r="AQ95">
            <v>0</v>
          </cell>
          <cell r="AR95">
            <v>133800</v>
          </cell>
          <cell r="AS95">
            <v>0</v>
          </cell>
          <cell r="AT95">
            <v>33450</v>
          </cell>
          <cell r="AU95">
            <v>0</v>
          </cell>
          <cell r="AV95">
            <v>33450</v>
          </cell>
          <cell r="AW95">
            <v>0</v>
          </cell>
          <cell r="AX95">
            <v>33450</v>
          </cell>
          <cell r="AY95">
            <v>0</v>
          </cell>
          <cell r="AZ95">
            <v>33450</v>
          </cell>
          <cell r="BA95">
            <v>0</v>
          </cell>
          <cell r="BB95">
            <v>133800</v>
          </cell>
          <cell r="BC95">
            <v>0</v>
          </cell>
          <cell r="BD95">
            <v>660000</v>
          </cell>
          <cell r="BE95">
            <v>0</v>
          </cell>
          <cell r="BF95">
            <v>660000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707500</v>
          </cell>
          <cell r="K96">
            <v>0</v>
          </cell>
          <cell r="L96">
            <v>907500</v>
          </cell>
          <cell r="M96">
            <v>0</v>
          </cell>
          <cell r="N96">
            <v>1615000</v>
          </cell>
          <cell r="O96">
            <v>0</v>
          </cell>
          <cell r="P96">
            <v>877500</v>
          </cell>
          <cell r="Q96">
            <v>0</v>
          </cell>
          <cell r="R96">
            <v>787500</v>
          </cell>
          <cell r="S96">
            <v>0</v>
          </cell>
          <cell r="T96">
            <v>777500</v>
          </cell>
          <cell r="U96">
            <v>0</v>
          </cell>
          <cell r="V96">
            <v>787500</v>
          </cell>
          <cell r="W96">
            <v>0</v>
          </cell>
          <cell r="X96">
            <v>3230000</v>
          </cell>
          <cell r="Y96">
            <v>0</v>
          </cell>
          <cell r="Z96">
            <v>787500</v>
          </cell>
          <cell r="AA96">
            <v>0</v>
          </cell>
          <cell r="AB96">
            <v>787500</v>
          </cell>
          <cell r="AC96">
            <v>0</v>
          </cell>
          <cell r="AD96">
            <v>787500</v>
          </cell>
          <cell r="AE96">
            <v>0</v>
          </cell>
          <cell r="AF96">
            <v>787500</v>
          </cell>
          <cell r="AG96">
            <v>0</v>
          </cell>
          <cell r="AH96">
            <v>3150000</v>
          </cell>
          <cell r="AI96">
            <v>0</v>
          </cell>
          <cell r="AJ96">
            <v>777500</v>
          </cell>
          <cell r="AK96">
            <v>0</v>
          </cell>
          <cell r="AL96">
            <v>777500</v>
          </cell>
          <cell r="AM96">
            <v>0</v>
          </cell>
          <cell r="AN96">
            <v>777500</v>
          </cell>
          <cell r="AO96">
            <v>0</v>
          </cell>
          <cell r="AP96">
            <v>777500</v>
          </cell>
          <cell r="AQ96">
            <v>0</v>
          </cell>
          <cell r="AR96">
            <v>3110000</v>
          </cell>
          <cell r="AS96">
            <v>0</v>
          </cell>
          <cell r="AT96">
            <v>657500</v>
          </cell>
          <cell r="AU96">
            <v>0</v>
          </cell>
          <cell r="AV96">
            <v>557500</v>
          </cell>
          <cell r="AW96">
            <v>0</v>
          </cell>
          <cell r="AX96">
            <v>535000</v>
          </cell>
          <cell r="AY96">
            <v>0</v>
          </cell>
          <cell r="AZ96">
            <v>525000</v>
          </cell>
          <cell r="BA96">
            <v>0</v>
          </cell>
          <cell r="BB96">
            <v>2275000</v>
          </cell>
          <cell r="BC96">
            <v>0</v>
          </cell>
          <cell r="BD96">
            <v>13380000</v>
          </cell>
          <cell r="BE96">
            <v>0</v>
          </cell>
          <cell r="BF96">
            <v>13380000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500000</v>
          </cell>
          <cell r="W97">
            <v>0</v>
          </cell>
          <cell r="X97">
            <v>500000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500000</v>
          </cell>
          <cell r="BE97">
            <v>0</v>
          </cell>
          <cell r="BF97">
            <v>500000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75000</v>
          </cell>
          <cell r="AC98">
            <v>0</v>
          </cell>
          <cell r="AD98">
            <v>75000</v>
          </cell>
          <cell r="AE98">
            <v>0</v>
          </cell>
          <cell r="AF98">
            <v>0</v>
          </cell>
          <cell r="AG98">
            <v>0</v>
          </cell>
          <cell r="AH98">
            <v>150000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200000</v>
          </cell>
          <cell r="AY98">
            <v>0</v>
          </cell>
          <cell r="AZ98">
            <v>250000</v>
          </cell>
          <cell r="BA98">
            <v>0</v>
          </cell>
          <cell r="BB98">
            <v>450000</v>
          </cell>
          <cell r="BC98">
            <v>0</v>
          </cell>
          <cell r="BD98">
            <v>600000</v>
          </cell>
          <cell r="BE98">
            <v>0</v>
          </cell>
          <cell r="BF98">
            <v>600000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120000</v>
          </cell>
          <cell r="M99">
            <v>0</v>
          </cell>
          <cell r="N99">
            <v>120000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120000</v>
          </cell>
          <cell r="W99">
            <v>0</v>
          </cell>
          <cell r="X99">
            <v>120000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120000</v>
          </cell>
          <cell r="AG99">
            <v>0</v>
          </cell>
          <cell r="AH99">
            <v>120000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120000</v>
          </cell>
          <cell r="AQ99">
            <v>0</v>
          </cell>
          <cell r="AR99">
            <v>120000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120000</v>
          </cell>
          <cell r="BA99">
            <v>0</v>
          </cell>
          <cell r="BB99">
            <v>120000</v>
          </cell>
          <cell r="BC99">
            <v>0</v>
          </cell>
          <cell r="BD99">
            <v>600000</v>
          </cell>
          <cell r="BE99">
            <v>0</v>
          </cell>
          <cell r="BF99">
            <v>600000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915000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915000</v>
          </cell>
          <cell r="BF100">
            <v>915000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F106">
            <v>0</v>
          </cell>
          <cell r="G106">
            <v>500000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500000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500000</v>
          </cell>
          <cell r="BF106">
            <v>500000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415000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415000</v>
          </cell>
          <cell r="BF107">
            <v>415000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300000</v>
          </cell>
          <cell r="K108">
            <v>0</v>
          </cell>
          <cell r="L108">
            <v>550593</v>
          </cell>
          <cell r="M108">
            <v>0</v>
          </cell>
          <cell r="N108">
            <v>850593</v>
          </cell>
          <cell r="O108">
            <v>0</v>
          </cell>
          <cell r="P108">
            <v>500000</v>
          </cell>
          <cell r="Q108">
            <v>0</v>
          </cell>
          <cell r="R108">
            <v>500000</v>
          </cell>
          <cell r="S108">
            <v>0</v>
          </cell>
          <cell r="T108">
            <v>500000</v>
          </cell>
          <cell r="U108">
            <v>0</v>
          </cell>
          <cell r="V108">
            <v>50360</v>
          </cell>
          <cell r="W108">
            <v>0</v>
          </cell>
          <cell r="X108">
            <v>1550360</v>
          </cell>
          <cell r="Y108">
            <v>0</v>
          </cell>
          <cell r="Z108">
            <v>700000</v>
          </cell>
          <cell r="AA108">
            <v>0</v>
          </cell>
          <cell r="AB108">
            <v>700000</v>
          </cell>
          <cell r="AC108">
            <v>0</v>
          </cell>
          <cell r="AD108">
            <v>700000</v>
          </cell>
          <cell r="AE108">
            <v>0</v>
          </cell>
          <cell r="AF108">
            <v>700000</v>
          </cell>
          <cell r="AG108">
            <v>0</v>
          </cell>
          <cell r="AH108">
            <v>2800000</v>
          </cell>
          <cell r="AI108">
            <v>0</v>
          </cell>
          <cell r="AJ108">
            <v>700000</v>
          </cell>
          <cell r="AK108">
            <v>0</v>
          </cell>
          <cell r="AL108">
            <v>562539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1262539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6463492</v>
          </cell>
          <cell r="BE108">
            <v>0</v>
          </cell>
          <cell r="BF108">
            <v>6463492</v>
          </cell>
        </row>
        <row r="109">
          <cell r="F109">
            <v>0</v>
          </cell>
          <cell r="G109">
            <v>2787500</v>
          </cell>
          <cell r="H109">
            <v>0</v>
          </cell>
          <cell r="I109">
            <v>696875</v>
          </cell>
          <cell r="J109">
            <v>1000000</v>
          </cell>
          <cell r="K109">
            <v>696875</v>
          </cell>
          <cell r="L109">
            <v>1000000</v>
          </cell>
          <cell r="M109">
            <v>696875</v>
          </cell>
          <cell r="N109">
            <v>2680000</v>
          </cell>
          <cell r="O109">
            <v>5558125</v>
          </cell>
          <cell r="P109">
            <v>1000000</v>
          </cell>
          <cell r="Q109">
            <v>721875</v>
          </cell>
          <cell r="R109">
            <v>1000000</v>
          </cell>
          <cell r="S109">
            <v>0</v>
          </cell>
          <cell r="T109">
            <v>1000000</v>
          </cell>
          <cell r="U109">
            <v>0</v>
          </cell>
          <cell r="V109">
            <v>1400000</v>
          </cell>
          <cell r="W109">
            <v>0</v>
          </cell>
          <cell r="X109">
            <v>4400000</v>
          </cell>
          <cell r="Y109">
            <v>721875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7080000</v>
          </cell>
          <cell r="BE109">
            <v>6280000</v>
          </cell>
          <cell r="BF109">
            <v>13360000</v>
          </cell>
        </row>
        <row r="110">
          <cell r="F110">
            <v>0</v>
          </cell>
          <cell r="G110">
            <v>2787500</v>
          </cell>
          <cell r="H110">
            <v>0</v>
          </cell>
          <cell r="I110">
            <v>696875</v>
          </cell>
          <cell r="J110">
            <v>0</v>
          </cell>
          <cell r="K110">
            <v>696875</v>
          </cell>
          <cell r="L110">
            <v>0</v>
          </cell>
          <cell r="M110">
            <v>696875</v>
          </cell>
          <cell r="N110">
            <v>680000</v>
          </cell>
          <cell r="O110">
            <v>5558125</v>
          </cell>
          <cell r="P110">
            <v>0</v>
          </cell>
          <cell r="Q110">
            <v>721875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721875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680000</v>
          </cell>
          <cell r="BE110">
            <v>6280000</v>
          </cell>
          <cell r="BF110">
            <v>6960000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1000000</v>
          </cell>
          <cell r="K111">
            <v>0</v>
          </cell>
          <cell r="L111">
            <v>1000000</v>
          </cell>
          <cell r="M111">
            <v>0</v>
          </cell>
          <cell r="N111">
            <v>2000000</v>
          </cell>
          <cell r="O111">
            <v>0</v>
          </cell>
          <cell r="P111">
            <v>1000000</v>
          </cell>
          <cell r="Q111">
            <v>0</v>
          </cell>
          <cell r="R111">
            <v>1000000</v>
          </cell>
          <cell r="S111">
            <v>0</v>
          </cell>
          <cell r="T111">
            <v>1000000</v>
          </cell>
          <cell r="U111">
            <v>0</v>
          </cell>
          <cell r="V111">
            <v>1400000</v>
          </cell>
          <cell r="W111">
            <v>0</v>
          </cell>
          <cell r="X111">
            <v>4400000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6400000</v>
          </cell>
          <cell r="BE111">
            <v>0</v>
          </cell>
          <cell r="BF111">
            <v>6400000</v>
          </cell>
        </row>
        <row r="112">
          <cell r="F112">
            <v>0</v>
          </cell>
          <cell r="G112">
            <v>27939830.100000001</v>
          </cell>
          <cell r="H112">
            <v>0</v>
          </cell>
          <cell r="I112">
            <v>1614674.9849999999</v>
          </cell>
          <cell r="J112">
            <v>12373462</v>
          </cell>
          <cell r="K112">
            <v>696875</v>
          </cell>
          <cell r="L112">
            <v>24298367.48</v>
          </cell>
          <cell r="M112">
            <v>7017517.5700000003</v>
          </cell>
          <cell r="N112">
            <v>73561735.480000004</v>
          </cell>
          <cell r="O112">
            <v>105549936.278</v>
          </cell>
          <cell r="P112">
            <v>20034671</v>
          </cell>
          <cell r="Q112">
            <v>721875</v>
          </cell>
          <cell r="R112">
            <v>23225802.083333332</v>
          </cell>
          <cell r="S112">
            <v>0</v>
          </cell>
          <cell r="T112">
            <v>29191740.730533332</v>
          </cell>
          <cell r="U112">
            <v>0</v>
          </cell>
          <cell r="V112">
            <v>37829609.926133335</v>
          </cell>
          <cell r="W112">
            <v>6320642.5700000003</v>
          </cell>
          <cell r="X112">
            <v>110281823.74000001</v>
          </cell>
          <cell r="Y112">
            <v>51798758.57</v>
          </cell>
          <cell r="Z112">
            <v>22737846</v>
          </cell>
          <cell r="AA112">
            <v>0</v>
          </cell>
          <cell r="AB112">
            <v>22069702.359999999</v>
          </cell>
          <cell r="AC112">
            <v>0</v>
          </cell>
          <cell r="AD112">
            <v>5203710</v>
          </cell>
          <cell r="AE112">
            <v>0</v>
          </cell>
          <cell r="AF112">
            <v>4722464.47</v>
          </cell>
          <cell r="AG112">
            <v>6320642.5700000003</v>
          </cell>
          <cell r="AH112">
            <v>54733722.829999998</v>
          </cell>
          <cell r="AI112">
            <v>98331304.849999994</v>
          </cell>
          <cell r="AJ112">
            <v>3626930</v>
          </cell>
          <cell r="AK112">
            <v>0</v>
          </cell>
          <cell r="AL112">
            <v>3733939</v>
          </cell>
          <cell r="AM112">
            <v>0</v>
          </cell>
          <cell r="AN112">
            <v>1912500</v>
          </cell>
          <cell r="AO112">
            <v>0</v>
          </cell>
          <cell r="AP112">
            <v>2162500</v>
          </cell>
          <cell r="AQ112">
            <v>0</v>
          </cell>
          <cell r="AR112">
            <v>11435869</v>
          </cell>
          <cell r="AS112">
            <v>0</v>
          </cell>
          <cell r="AT112">
            <v>1912500</v>
          </cell>
          <cell r="AU112">
            <v>0</v>
          </cell>
          <cell r="AV112">
            <v>1376850</v>
          </cell>
          <cell r="AW112">
            <v>0</v>
          </cell>
          <cell r="AX112">
            <v>1133750</v>
          </cell>
          <cell r="AY112">
            <v>0</v>
          </cell>
          <cell r="AZ112">
            <v>1243750</v>
          </cell>
          <cell r="BA112">
            <v>0</v>
          </cell>
          <cell r="BB112">
            <v>5666849</v>
          </cell>
          <cell r="BC112">
            <v>0</v>
          </cell>
          <cell r="BD112">
            <v>255680000.05000001</v>
          </cell>
          <cell r="BE112">
            <v>255679999.69800001</v>
          </cell>
          <cell r="BF112">
            <v>511359999.74799997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0"/>
  <sheetViews>
    <sheetView tabSelected="1" topLeftCell="A61" workbookViewId="0">
      <selection activeCell="F73" sqref="F73"/>
    </sheetView>
  </sheetViews>
  <sheetFormatPr defaultColWidth="9.140625" defaultRowHeight="15" x14ac:dyDescent="0.25"/>
  <cols>
    <col min="1" max="1" width="36.140625" customWidth="1"/>
    <col min="2" max="4" width="12.140625" customWidth="1"/>
    <col min="5" max="5" width="2.85546875" style="39" customWidth="1"/>
    <col min="6" max="17" width="15.7109375" style="208" customWidth="1"/>
    <col min="18" max="18" width="17.28515625" style="208" customWidth="1"/>
    <col min="19" max="38" width="9.140625" style="39"/>
  </cols>
  <sheetData>
    <row r="1" spans="1:18" x14ac:dyDescent="0.25">
      <c r="A1">
        <v>3.4</v>
      </c>
      <c r="B1" s="287" t="s">
        <v>206</v>
      </c>
      <c r="C1" s="287"/>
      <c r="D1" s="287"/>
      <c r="F1" s="281" t="s">
        <v>207</v>
      </c>
      <c r="G1" s="281"/>
      <c r="H1" s="281" t="s">
        <v>67</v>
      </c>
      <c r="I1" s="281"/>
      <c r="J1" s="281" t="s">
        <v>208</v>
      </c>
      <c r="K1" s="281"/>
      <c r="L1" s="281" t="s">
        <v>209</v>
      </c>
      <c r="M1" s="281"/>
      <c r="N1" s="281" t="s">
        <v>210</v>
      </c>
      <c r="O1" s="281"/>
      <c r="P1" s="281" t="s">
        <v>9</v>
      </c>
      <c r="Q1" s="281"/>
      <c r="R1" s="281"/>
    </row>
    <row r="2" spans="1:18" x14ac:dyDescent="0.25">
      <c r="A2" s="282" t="s">
        <v>71</v>
      </c>
      <c r="B2" s="284" t="s">
        <v>211</v>
      </c>
      <c r="C2" s="285"/>
      <c r="D2" s="286"/>
      <c r="F2" s="281" t="str">
        <f>+'[2]CRONOGRAMA EXECUÇÃO'!E4</f>
        <v>Total</v>
      </c>
      <c r="G2" s="281"/>
      <c r="H2" s="281" t="s">
        <v>47</v>
      </c>
      <c r="I2" s="281"/>
      <c r="J2" s="281" t="s">
        <v>47</v>
      </c>
      <c r="K2" s="281"/>
      <c r="L2" s="281" t="s">
        <v>47</v>
      </c>
      <c r="M2" s="281"/>
      <c r="N2" s="281" t="s">
        <v>47</v>
      </c>
      <c r="O2" s="281"/>
      <c r="P2" s="218" t="s">
        <v>15</v>
      </c>
      <c r="Q2" s="218" t="s">
        <v>77</v>
      </c>
      <c r="R2" s="218" t="s">
        <v>9</v>
      </c>
    </row>
    <row r="3" spans="1:18" x14ac:dyDescent="0.25">
      <c r="A3" s="283"/>
      <c r="B3" s="96" t="s">
        <v>15</v>
      </c>
      <c r="C3" s="96" t="s">
        <v>16</v>
      </c>
      <c r="D3" s="96" t="s">
        <v>47</v>
      </c>
      <c r="F3" s="199" t="s">
        <v>15</v>
      </c>
      <c r="G3" s="199" t="s">
        <v>77</v>
      </c>
      <c r="H3" s="199" t="s">
        <v>15</v>
      </c>
      <c r="I3" s="199" t="s">
        <v>77</v>
      </c>
      <c r="J3" s="199" t="s">
        <v>15</v>
      </c>
      <c r="K3" s="199" t="s">
        <v>77</v>
      </c>
      <c r="L3" s="199" t="s">
        <v>15</v>
      </c>
      <c r="M3" s="199" t="s">
        <v>77</v>
      </c>
      <c r="N3" s="199" t="s">
        <v>15</v>
      </c>
      <c r="O3" s="199" t="s">
        <v>77</v>
      </c>
      <c r="P3" s="200"/>
      <c r="Q3" s="200"/>
      <c r="R3" s="201"/>
    </row>
    <row r="4" spans="1:18" ht="39" customHeight="1" x14ac:dyDescent="0.25">
      <c r="A4" s="100" t="s">
        <v>78</v>
      </c>
      <c r="B4" s="101">
        <f>'[3]Simulação Real Fechada'!B4/'[3]Simulação Dólar Fechada (US$)'!$A$1</f>
        <v>20935128.302941173</v>
      </c>
      <c r="C4" s="101">
        <f>'[3]Simulação Real Fechada'!C4/'[3]Simulação Dólar Fechada (US$)'!$A$1</f>
        <v>73083823.440588236</v>
      </c>
      <c r="D4" s="101">
        <f>'[3]Simulação Real Fechada'!D4/'[3]Simulação Dólar Fechada (US$)'!$A$1</f>
        <v>94018951.743529409</v>
      </c>
      <c r="F4" s="101">
        <f>'[3]Simulação Real Fechada'!N4/'[3]Simulação Dólar Fechada (US$)'!$A$1</f>
        <v>12325652.200000001</v>
      </c>
      <c r="G4" s="101">
        <f>'[3]Simulação Real Fechada'!O4/'[3]Simulação Dólar Fechada (US$)'!$A$1</f>
        <v>29140238.611176472</v>
      </c>
      <c r="H4" s="101">
        <f>'[3]Simulação Real Fechada'!X4/'[3]Simulação Dólar Fechada (US$)'!$A$1</f>
        <v>6618735.511764707</v>
      </c>
      <c r="I4" s="101">
        <f>'[3]Simulação Real Fechada'!Y4/'[3]Simulação Dólar Fechada (US$)'!$A$1</f>
        <v>15022612.814705882</v>
      </c>
      <c r="J4" s="101">
        <f>'[3]Simulação Real Fechada'!AH4/'[3]Simulação Dólar Fechada (US$)'!$A$1</f>
        <v>1770152.611764706</v>
      </c>
      <c r="K4" s="101">
        <f>'[3]Simulação Real Fechada'!AI4/'[3]Simulação Dólar Fechada (US$)'!$A$1</f>
        <v>28920972.014705881</v>
      </c>
      <c r="L4" s="101">
        <f>'[3]Simulação Real Fechada'!AR4/'[3]Simulação Dólar Fechada (US$)'!$A$1</f>
        <v>117647.05882352941</v>
      </c>
      <c r="M4" s="101">
        <f>'[3]Simulação Real Fechada'!AS4/'[3]Simulação Dólar Fechada (US$)'!$A$1</f>
        <v>0</v>
      </c>
      <c r="N4" s="101">
        <f>'[3]Simulação Real Fechada'!BB4/'[3]Simulação Dólar Fechada (US$)'!$A$1</f>
        <v>102941.17647058824</v>
      </c>
      <c r="O4" s="101">
        <f>'[3]Simulação Real Fechada'!BC4/'[3]Simulação Dólar Fechada (US$)'!$A$1</f>
        <v>0</v>
      </c>
      <c r="P4" s="101">
        <f>'[3]Simulação Real Fechada'!BD4/'[3]Simulação Dólar Fechada (US$)'!$A$1</f>
        <v>20935128.264705881</v>
      </c>
      <c r="Q4" s="101">
        <f>'[3]Simulação Real Fechada'!BE4/'[3]Simulação Dólar Fechada (US$)'!$A$1</f>
        <v>73083823.440588236</v>
      </c>
      <c r="R4" s="101">
        <f>'[3]Simulação Real Fechada'!BF4/'[3]Simulação Dólar Fechada (US$)'!$A$1</f>
        <v>94018951.705294117</v>
      </c>
    </row>
    <row r="5" spans="1:18" ht="27" customHeight="1" x14ac:dyDescent="0.25">
      <c r="A5" s="209" t="s">
        <v>79</v>
      </c>
      <c r="B5" s="103">
        <f>'[3]Simulação Real Fechada'!B5/'[3]Simulação Dólar Fechada (US$)'!$A$1</f>
        <v>3439792.073529412</v>
      </c>
      <c r="C5" s="103">
        <f>'[3]Simulação Real Fechada'!C5/'[3]Simulação Dólar Fechada (US$)'!$A$1</f>
        <v>20809761.460588232</v>
      </c>
      <c r="D5" s="103">
        <f>'[3]Simulação Real Fechada'!D5/'[3]Simulação Dólar Fechada (US$)'!$A$1</f>
        <v>24249553.534117643</v>
      </c>
      <c r="F5" s="103">
        <f>'[3]Simulação Real Fechada'!N5/'[3]Simulação Dólar Fechada (US$)'!$A$1</f>
        <v>309089.4117647059</v>
      </c>
      <c r="G5" s="103">
        <f>'[3]Simulação Real Fechada'!O5/'[3]Simulação Dólar Fechada (US$)'!$A$1</f>
        <v>16144467.342941176</v>
      </c>
      <c r="H5" s="103">
        <f>'[3]Simulação Real Fechada'!X5/'[3]Simulação Dólar Fechada (US$)'!$A$1</f>
        <v>2807173.5058823531</v>
      </c>
      <c r="I5" s="103">
        <f>'[3]Simulação Real Fechada'!Y5/'[3]Simulação Dólar Fechada (US$)'!$A$1</f>
        <v>4665294.1176470593</v>
      </c>
      <c r="J5" s="103">
        <f>'[3]Simulação Real Fechada'!AH5/'[3]Simulação Dólar Fechada (US$)'!$A$1</f>
        <v>102941.17647058824</v>
      </c>
      <c r="K5" s="103">
        <f>'[3]Simulação Real Fechada'!AI5/'[3]Simulação Dólar Fechada (US$)'!$A$1</f>
        <v>0</v>
      </c>
      <c r="L5" s="103">
        <f>'[3]Simulação Real Fechada'!AR5/'[3]Simulação Dólar Fechada (US$)'!$A$1</f>
        <v>117647.05882352941</v>
      </c>
      <c r="M5" s="103">
        <f>'[3]Simulação Real Fechada'!AS5/'[3]Simulação Dólar Fechada (US$)'!$A$1</f>
        <v>0</v>
      </c>
      <c r="N5" s="103">
        <f>'[3]Simulação Real Fechada'!BB5/'[3]Simulação Dólar Fechada (US$)'!$A$1</f>
        <v>102941.17647058824</v>
      </c>
      <c r="O5" s="103">
        <f>'[3]Simulação Real Fechada'!BC5/'[3]Simulação Dólar Fechada (US$)'!$A$1</f>
        <v>0</v>
      </c>
      <c r="P5" s="103">
        <f>'[3]Simulação Real Fechada'!BD5/'[3]Simulação Dólar Fechada (US$)'!$A$1</f>
        <v>3439792.0352941179</v>
      </c>
      <c r="Q5" s="103">
        <f>'[3]Simulação Real Fechada'!BE5/'[3]Simulação Dólar Fechada (US$)'!$A$1</f>
        <v>20809761.460588232</v>
      </c>
      <c r="R5" s="103">
        <f>'[3]Simulação Real Fechada'!BF5/'[3]Simulação Dólar Fechada (US$)'!$A$1</f>
        <v>24249553.495882351</v>
      </c>
    </row>
    <row r="6" spans="1:18" ht="31.5" customHeight="1" x14ac:dyDescent="0.25">
      <c r="A6" s="110" t="s">
        <v>194</v>
      </c>
      <c r="B6" s="106">
        <f>'[3]Simulação Real Fechada'!B6/'[3]Simulação Dólar Fechada (US$)'!$A$1</f>
        <v>367647.0588235294</v>
      </c>
      <c r="C6" s="106">
        <f>'[3]Simulação Real Fechada'!C6/'[3]Simulação Dólar Fechada (US$)'!$A$1</f>
        <v>0</v>
      </c>
      <c r="D6" s="106">
        <f>'[3]Simulação Real Fechada'!D6/'[3]Simulação Dólar Fechada (US$)'!$A$1</f>
        <v>367647.0588235294</v>
      </c>
      <c r="F6" s="106">
        <f>'[3]Simulação Real Fechada'!N6/'[3]Simulação Dólar Fechada (US$)'!$A$1</f>
        <v>0</v>
      </c>
      <c r="G6" s="106">
        <f>'[3]Simulação Real Fechada'!O6/'[3]Simulação Dólar Fechada (US$)'!$A$1</f>
        <v>0</v>
      </c>
      <c r="H6" s="106">
        <f>'[3]Simulação Real Fechada'!X6/'[3]Simulação Dólar Fechada (US$)'!$A$1</f>
        <v>44117.647058823532</v>
      </c>
      <c r="I6" s="106">
        <f>'[3]Simulação Real Fechada'!Y6/'[3]Simulação Dólar Fechada (US$)'!$A$1</f>
        <v>0</v>
      </c>
      <c r="J6" s="106">
        <f>'[3]Simulação Real Fechada'!AH6/'[3]Simulação Dólar Fechada (US$)'!$A$1</f>
        <v>102941.17647058824</v>
      </c>
      <c r="K6" s="106">
        <f>'[3]Simulação Real Fechada'!AI6/'[3]Simulação Dólar Fechada (US$)'!$A$1</f>
        <v>0</v>
      </c>
      <c r="L6" s="106">
        <f>'[3]Simulação Real Fechada'!AR6/'[3]Simulação Dólar Fechada (US$)'!$A$1</f>
        <v>117647.05882352941</v>
      </c>
      <c r="M6" s="106">
        <f>'[3]Simulação Real Fechada'!AS6/'[3]Simulação Dólar Fechada (US$)'!$A$1</f>
        <v>0</v>
      </c>
      <c r="N6" s="106">
        <f>'[3]Simulação Real Fechada'!BB6/'[3]Simulação Dólar Fechada (US$)'!$A$1</f>
        <v>102941.17647058824</v>
      </c>
      <c r="O6" s="106">
        <f>'[3]Simulação Real Fechada'!BC6/'[3]Simulação Dólar Fechada (US$)'!$A$1</f>
        <v>0</v>
      </c>
      <c r="P6" s="106">
        <f>'[3]Simulação Real Fechada'!BD6/'[3]Simulação Dólar Fechada (US$)'!$A$1</f>
        <v>367647.0588235294</v>
      </c>
      <c r="Q6" s="106">
        <f>'[3]Simulação Real Fechada'!BE6/'[3]Simulação Dólar Fechada (US$)'!$A$1</f>
        <v>0</v>
      </c>
      <c r="R6" s="106">
        <f>'[3]Simulação Real Fechada'!BF6/'[3]Simulação Dólar Fechada (US$)'!$A$1</f>
        <v>367647.0588235294</v>
      </c>
    </row>
    <row r="7" spans="1:18" x14ac:dyDescent="0.25">
      <c r="A7" s="202" t="s">
        <v>83</v>
      </c>
      <c r="B7" s="106">
        <f>'[3]Simulação Real Fechada'!B7/'[3]Simulação Dólar Fechada (US$)'!$A$1</f>
        <v>0</v>
      </c>
      <c r="C7" s="106">
        <f>'[3]Simulação Real Fechada'!C7/'[3]Simulação Dólar Fechada (US$)'!$A$1</f>
        <v>4665294.1176470593</v>
      </c>
      <c r="D7" s="106">
        <f>'[3]Simulação Real Fechada'!D7/'[3]Simulação Dólar Fechada (US$)'!$A$1</f>
        <v>4665294.1176470593</v>
      </c>
      <c r="F7" s="106">
        <f>'[3]Simulação Real Fechada'!N7/'[3]Simulação Dólar Fechada (US$)'!$A$1</f>
        <v>0</v>
      </c>
      <c r="G7" s="106">
        <f>'[3]Simulação Real Fechada'!O7/'[3]Simulação Dólar Fechada (US$)'!$A$1</f>
        <v>0</v>
      </c>
      <c r="H7" s="106">
        <f>'[3]Simulação Real Fechada'!X7/'[3]Simulação Dólar Fechada (US$)'!$A$1</f>
        <v>0</v>
      </c>
      <c r="I7" s="106">
        <f>'[3]Simulação Real Fechada'!Y7/'[3]Simulação Dólar Fechada (US$)'!$A$1</f>
        <v>4665294.1176470593</v>
      </c>
      <c r="J7" s="106">
        <f>'[3]Simulação Real Fechada'!AH7/'[3]Simulação Dólar Fechada (US$)'!$A$1</f>
        <v>0</v>
      </c>
      <c r="K7" s="106">
        <f>'[3]Simulação Real Fechada'!AI7/'[3]Simulação Dólar Fechada (US$)'!$A$1</f>
        <v>0</v>
      </c>
      <c r="L7" s="106">
        <f>'[3]Simulação Real Fechada'!AR7/'[3]Simulação Dólar Fechada (US$)'!$A$1</f>
        <v>0</v>
      </c>
      <c r="M7" s="106">
        <f>'[3]Simulação Real Fechada'!AS7/'[3]Simulação Dólar Fechada (US$)'!$A$1</f>
        <v>0</v>
      </c>
      <c r="N7" s="106">
        <f>'[3]Simulação Real Fechada'!BB7/'[3]Simulação Dólar Fechada (US$)'!$A$1</f>
        <v>0</v>
      </c>
      <c r="O7" s="106">
        <f>'[3]Simulação Real Fechada'!BC7/'[3]Simulação Dólar Fechada (US$)'!$A$1</f>
        <v>0</v>
      </c>
      <c r="P7" s="106">
        <f>'[3]Simulação Real Fechada'!BD7/'[3]Simulação Dólar Fechada (US$)'!$A$1</f>
        <v>0</v>
      </c>
      <c r="Q7" s="106">
        <f>'[3]Simulação Real Fechada'!BE7/'[3]Simulação Dólar Fechada (US$)'!$A$1</f>
        <v>4665294.1176470593</v>
      </c>
      <c r="R7" s="106">
        <f>'[3]Simulação Real Fechada'!BF7/'[3]Simulação Dólar Fechada (US$)'!$A$1</f>
        <v>4665294.1176470593</v>
      </c>
    </row>
    <row r="8" spans="1:18" ht="24" x14ac:dyDescent="0.25">
      <c r="A8" s="210" t="s">
        <v>195</v>
      </c>
      <c r="B8" s="106">
        <f>'[3]Simulação Real Fechada'!B8/'[3]Simulação Dólar Fechada (US$)'!$A$1</f>
        <v>599106.86470588238</v>
      </c>
      <c r="C8" s="106">
        <f>'[3]Simulação Real Fechada'!C8/'[3]Simulação Dólar Fechada (US$)'!$A$1</f>
        <v>16144467.342941176</v>
      </c>
      <c r="D8" s="106">
        <f>'[3]Simulação Real Fechada'!D8/'[3]Simulação Dólar Fechada (US$)'!$A$1</f>
        <v>16743574.207647059</v>
      </c>
      <c r="F8" s="106">
        <f>'[3]Simulação Real Fechada'!N8/'[3]Simulação Dólar Fechada (US$)'!$A$1</f>
        <v>54607.058823529413</v>
      </c>
      <c r="G8" s="106">
        <f>'[3]Simulação Real Fechada'!O8/'[3]Simulação Dólar Fechada (US$)'!$A$1</f>
        <v>16144467.342941176</v>
      </c>
      <c r="H8" s="106">
        <f>'[3]Simulação Real Fechada'!X8/'[3]Simulação Dólar Fechada (US$)'!$A$1</f>
        <v>544499.70588235301</v>
      </c>
      <c r="I8" s="106">
        <f>'[3]Simulação Real Fechada'!Y8/'[3]Simulação Dólar Fechada (US$)'!$A$1</f>
        <v>0</v>
      </c>
      <c r="J8" s="106">
        <f>'[3]Simulação Real Fechada'!AH8/'[3]Simulação Dólar Fechada (US$)'!$A$1</f>
        <v>0</v>
      </c>
      <c r="K8" s="106">
        <f>'[3]Simulação Real Fechada'!AI8/'[3]Simulação Dólar Fechada (US$)'!$A$1</f>
        <v>0</v>
      </c>
      <c r="L8" s="106">
        <f>'[3]Simulação Real Fechada'!AR8/'[3]Simulação Dólar Fechada (US$)'!$A$1</f>
        <v>0</v>
      </c>
      <c r="M8" s="106">
        <f>'[3]Simulação Real Fechada'!AS8/'[3]Simulação Dólar Fechada (US$)'!$A$1</f>
        <v>0</v>
      </c>
      <c r="N8" s="106">
        <f>'[3]Simulação Real Fechada'!BB8/'[3]Simulação Dólar Fechada (US$)'!$A$1</f>
        <v>0</v>
      </c>
      <c r="O8" s="106">
        <f>'[3]Simulação Real Fechada'!BC8/'[3]Simulação Dólar Fechada (US$)'!$A$1</f>
        <v>0</v>
      </c>
      <c r="P8" s="106">
        <f>'[3]Simulação Real Fechada'!BD8/'[3]Simulação Dólar Fechada (US$)'!$A$1</f>
        <v>599106.76470588241</v>
      </c>
      <c r="Q8" s="106">
        <f>'[3]Simulação Real Fechada'!BE8/'[3]Simulação Dólar Fechada (US$)'!$A$1</f>
        <v>16144467.342941176</v>
      </c>
      <c r="R8" s="106">
        <f>'[3]Simulação Real Fechada'!BF8/'[3]Simulação Dólar Fechada (US$)'!$A$1</f>
        <v>16743574.107647059</v>
      </c>
    </row>
    <row r="9" spans="1:18" x14ac:dyDescent="0.25">
      <c r="A9" s="110" t="s">
        <v>196</v>
      </c>
      <c r="B9" s="106">
        <f>'[3]Simulação Real Fechada'!B9/'[3]Simulação Dólar Fechada (US$)'!$A$1</f>
        <v>2473038.1500000004</v>
      </c>
      <c r="C9" s="106">
        <f>'[3]Simulação Real Fechada'!C9/'[3]Simulação Dólar Fechada (US$)'!$A$1</f>
        <v>0</v>
      </c>
      <c r="D9" s="106">
        <f>'[3]Simulação Real Fechada'!D9/'[3]Simulação Dólar Fechada (US$)'!$A$1</f>
        <v>2473038.1500000004</v>
      </c>
      <c r="F9" s="106">
        <f>'[3]Simulação Real Fechada'!N9/'[3]Simulação Dólar Fechada (US$)'!$A$1</f>
        <v>254482.35294117648</v>
      </c>
      <c r="G9" s="106">
        <f>'[3]Simulação Real Fechada'!O9/'[3]Simulação Dólar Fechada (US$)'!$A$1</f>
        <v>0</v>
      </c>
      <c r="H9" s="106">
        <f>'[3]Simulação Real Fechada'!X9/'[3]Simulação Dólar Fechada (US$)'!$A$1</f>
        <v>2218556.1529411767</v>
      </c>
      <c r="I9" s="106">
        <f>'[3]Simulação Real Fechada'!Y9/'[3]Simulação Dólar Fechada (US$)'!$A$1</f>
        <v>0</v>
      </c>
      <c r="J9" s="106">
        <f>'[3]Simulação Real Fechada'!AH9/'[3]Simulação Dólar Fechada (US$)'!$A$1</f>
        <v>0</v>
      </c>
      <c r="K9" s="106">
        <f>'[3]Simulação Real Fechada'!AI9/'[3]Simulação Dólar Fechada (US$)'!$A$1</f>
        <v>0</v>
      </c>
      <c r="L9" s="106">
        <f>'[3]Simulação Real Fechada'!AR9/'[3]Simulação Dólar Fechada (US$)'!$A$1</f>
        <v>0</v>
      </c>
      <c r="M9" s="106">
        <f>'[3]Simulação Real Fechada'!AS9/'[3]Simulação Dólar Fechada (US$)'!$A$1</f>
        <v>0</v>
      </c>
      <c r="N9" s="106">
        <f>'[3]Simulação Real Fechada'!BB9/'[3]Simulação Dólar Fechada (US$)'!$A$1</f>
        <v>0</v>
      </c>
      <c r="O9" s="106">
        <f>'[3]Simulação Real Fechada'!BC9/'[3]Simulação Dólar Fechada (US$)'!$A$1</f>
        <v>0</v>
      </c>
      <c r="P9" s="106">
        <f>'[3]Simulação Real Fechada'!BD9/'[3]Simulação Dólar Fechada (US$)'!$A$1</f>
        <v>2473038.2117647058</v>
      </c>
      <c r="Q9" s="106">
        <f>'[3]Simulação Real Fechada'!BE9/'[3]Simulação Dólar Fechada (US$)'!$A$1</f>
        <v>0</v>
      </c>
      <c r="R9" s="106">
        <f>'[3]Simulação Real Fechada'!BF9/'[3]Simulação Dólar Fechada (US$)'!$A$1</f>
        <v>2473038.2117647058</v>
      </c>
    </row>
    <row r="10" spans="1:18" ht="27" customHeight="1" x14ac:dyDescent="0.25">
      <c r="A10" s="211" t="s">
        <v>107</v>
      </c>
      <c r="B10" s="103">
        <f>'[3]Simulação Real Fechada'!B10/'[3]Simulação Dólar Fechada (US$)'!$A$1</f>
        <v>4240792.2382352939</v>
      </c>
      <c r="C10" s="103">
        <f>'[3]Simulação Real Fechada'!C10/'[3]Simulação Dólar Fechada (US$)'!$A$1</f>
        <v>6522205.8470588243</v>
      </c>
      <c r="D10" s="103">
        <f>'[3]Simulação Real Fechada'!D10/'[3]Simulação Dólar Fechada (US$)'!$A$1</f>
        <v>10762998.085294118</v>
      </c>
      <c r="F10" s="103">
        <f>'[3]Simulação Real Fechada'!N10/'[3]Simulação Dólar Fechada (US$)'!$A$1</f>
        <v>1215315.1411764706</v>
      </c>
      <c r="G10" s="103">
        <f>'[3]Simulação Real Fechada'!O10/'[3]Simulação Dólar Fechada (US$)'!$A$1</f>
        <v>2804180.8058823529</v>
      </c>
      <c r="H10" s="103">
        <f>'[3]Simulação Real Fechada'!X10/'[3]Simulação Dólar Fechada (US$)'!$A$1</f>
        <v>2634631.682352941</v>
      </c>
      <c r="I10" s="103">
        <f>'[3]Simulação Real Fechada'!Y10/'[3]Simulação Dólar Fechada (US$)'!$A$1</f>
        <v>1859012.5205882355</v>
      </c>
      <c r="J10" s="103">
        <f>'[3]Simulação Real Fechada'!AH10/'[3]Simulação Dólar Fechada (US$)'!$A$1</f>
        <v>390845.41470588231</v>
      </c>
      <c r="K10" s="103">
        <f>'[3]Simulação Real Fechada'!AI10/'[3]Simulação Dólar Fechada (US$)'!$A$1</f>
        <v>1859012.5205882355</v>
      </c>
      <c r="L10" s="103">
        <f>'[3]Simulação Real Fechada'!AR10/'[3]Simulação Dólar Fechada (US$)'!$A$1</f>
        <v>0</v>
      </c>
      <c r="M10" s="103">
        <f>'[3]Simulação Real Fechada'!AS10/'[3]Simulação Dólar Fechada (US$)'!$A$1</f>
        <v>0</v>
      </c>
      <c r="N10" s="103">
        <f>'[3]Simulação Real Fechada'!BB10/'[3]Simulação Dólar Fechada (US$)'!$A$1</f>
        <v>0</v>
      </c>
      <c r="O10" s="103">
        <f>'[3]Simulação Real Fechada'!BC10/'[3]Simulação Dólar Fechada (US$)'!$A$1</f>
        <v>0</v>
      </c>
      <c r="P10" s="103">
        <f>'[3]Simulação Real Fechada'!BD10/'[3]Simulação Dólar Fechada (US$)'!$A$1</f>
        <v>4240792.2382352939</v>
      </c>
      <c r="Q10" s="103">
        <f>'[3]Simulação Real Fechada'!BE10/'[3]Simulação Dólar Fechada (US$)'!$A$1</f>
        <v>6522205.8470588243</v>
      </c>
      <c r="R10" s="103">
        <f>'[3]Simulação Real Fechada'!BF10/'[3]Simulação Dólar Fechada (US$)'!$A$1</f>
        <v>10762998.085294118</v>
      </c>
    </row>
    <row r="11" spans="1:18" ht="24" x14ac:dyDescent="0.25">
      <c r="A11" s="161" t="s">
        <v>197</v>
      </c>
      <c r="B11" s="106">
        <f>'[3]Simulação Real Fechada'!B11/'[3]Simulação Dólar Fechada (US$)'!$A$1</f>
        <v>1788725.5617647059</v>
      </c>
      <c r="C11" s="106">
        <f>'[3]Simulação Real Fechada'!C11/'[3]Simulação Dólar Fechada (US$)'!$A$1</f>
        <v>5812331.6794117652</v>
      </c>
      <c r="D11" s="106">
        <f>'[3]Simulação Real Fechada'!D11/'[3]Simulação Dólar Fechada (US$)'!$A$1</f>
        <v>7601057.2411764711</v>
      </c>
      <c r="F11" s="106">
        <f>'[3]Simulação Real Fechada'!N11/'[3]Simulação Dólar Fechada (US$)'!$A$1</f>
        <v>1091449.6794117647</v>
      </c>
      <c r="G11" s="106">
        <f>'[3]Simulação Real Fechada'!O11/'[3]Simulação Dólar Fechada (US$)'!$A$1</f>
        <v>2094306.6382352943</v>
      </c>
      <c r="H11" s="106">
        <f>'[3]Simulação Real Fechada'!X11/'[3]Simulação Dólar Fechada (US$)'!$A$1</f>
        <v>697275.8823529412</v>
      </c>
      <c r="I11" s="106">
        <f>'[3]Simulação Real Fechada'!Y11/'[3]Simulação Dólar Fechada (US$)'!$A$1</f>
        <v>1859012.5205882355</v>
      </c>
      <c r="J11" s="106">
        <f>'[3]Simulação Real Fechada'!AH11/'[3]Simulação Dólar Fechada (US$)'!$A$1</f>
        <v>0</v>
      </c>
      <c r="K11" s="106">
        <f>'[3]Simulação Real Fechada'!AI11/'[3]Simulação Dólar Fechada (US$)'!$A$1</f>
        <v>1859012.5205882355</v>
      </c>
      <c r="L11" s="106">
        <f>'[3]Simulação Real Fechada'!AR11/'[3]Simulação Dólar Fechada (US$)'!$A$1</f>
        <v>0</v>
      </c>
      <c r="M11" s="106">
        <f>'[3]Simulação Real Fechada'!AS11/'[3]Simulação Dólar Fechada (US$)'!$A$1</f>
        <v>0</v>
      </c>
      <c r="N11" s="106">
        <f>'[3]Simulação Real Fechada'!BB11/'[3]Simulação Dólar Fechada (US$)'!$A$1</f>
        <v>0</v>
      </c>
      <c r="O11" s="106">
        <f>'[3]Simulação Real Fechada'!BC11/'[3]Simulação Dólar Fechada (US$)'!$A$1</f>
        <v>0</v>
      </c>
      <c r="P11" s="106">
        <f>'[3]Simulação Real Fechada'!BD11/'[3]Simulação Dólar Fechada (US$)'!$A$1</f>
        <v>1788725.5617647059</v>
      </c>
      <c r="Q11" s="106">
        <f>'[3]Simulação Real Fechada'!BE11/'[3]Simulação Dólar Fechada (US$)'!$A$1</f>
        <v>5812331.6794117652</v>
      </c>
      <c r="R11" s="106">
        <f>'[3]Simulação Real Fechada'!BF11/'[3]Simulação Dólar Fechada (US$)'!$A$1</f>
        <v>7601057.2411764711</v>
      </c>
    </row>
    <row r="12" spans="1:18" ht="24" x14ac:dyDescent="0.25">
      <c r="A12" s="110" t="s">
        <v>198</v>
      </c>
      <c r="B12" s="106">
        <f>'[3]Simulação Real Fechada'!B12/'[3]Simulação Dólar Fechada (US$)'!$A$1</f>
        <v>385443.47647058824</v>
      </c>
      <c r="C12" s="106">
        <f>'[3]Simulação Real Fechada'!C12/'[3]Simulação Dólar Fechada (US$)'!$A$1</f>
        <v>121638.87352941177</v>
      </c>
      <c r="D12" s="106">
        <f>'[3]Simulação Real Fechada'!D12/'[3]Simulação Dólar Fechada (US$)'!$A$1</f>
        <v>507082.35000000003</v>
      </c>
      <c r="F12" s="106">
        <f>'[3]Simulação Real Fechada'!N12/'[3]Simulação Dólar Fechada (US$)'!$A$1</f>
        <v>123865.46176470589</v>
      </c>
      <c r="G12" s="106">
        <f>'[3]Simulação Real Fechada'!O12/'[3]Simulação Dólar Fechada (US$)'!$A$1</f>
        <v>121638.87352941177</v>
      </c>
      <c r="H12" s="106">
        <f>'[3]Simulação Real Fechada'!X12/'[3]Simulação Dólar Fechada (US$)'!$A$1</f>
        <v>261578.01470588235</v>
      </c>
      <c r="I12" s="106">
        <f>'[3]Simulação Real Fechada'!Y12/'[3]Simulação Dólar Fechada (US$)'!$A$1</f>
        <v>0</v>
      </c>
      <c r="J12" s="106">
        <f>'[3]Simulação Real Fechada'!AH12/'[3]Simulação Dólar Fechada (US$)'!$A$1</f>
        <v>0</v>
      </c>
      <c r="K12" s="106">
        <f>'[3]Simulação Real Fechada'!AI12/'[3]Simulação Dólar Fechada (US$)'!$A$1</f>
        <v>0</v>
      </c>
      <c r="L12" s="106">
        <f>'[3]Simulação Real Fechada'!AR12/'[3]Simulação Dólar Fechada (US$)'!$A$1</f>
        <v>0</v>
      </c>
      <c r="M12" s="106">
        <f>'[3]Simulação Real Fechada'!AS12/'[3]Simulação Dólar Fechada (US$)'!$A$1</f>
        <v>0</v>
      </c>
      <c r="N12" s="106">
        <f>'[3]Simulação Real Fechada'!BB12/'[3]Simulação Dólar Fechada (US$)'!$A$1</f>
        <v>0</v>
      </c>
      <c r="O12" s="106">
        <f>'[3]Simulação Real Fechada'!BC12/'[3]Simulação Dólar Fechada (US$)'!$A$1</f>
        <v>0</v>
      </c>
      <c r="P12" s="106">
        <f>'[3]Simulação Real Fechada'!BD12/'[3]Simulação Dólar Fechada (US$)'!$A$1</f>
        <v>385443.47647058824</v>
      </c>
      <c r="Q12" s="106">
        <f>'[3]Simulação Real Fechada'!BE12/'[3]Simulação Dólar Fechada (US$)'!$A$1</f>
        <v>121638.87352941177</v>
      </c>
      <c r="R12" s="106">
        <f>'[3]Simulação Real Fechada'!BF12/'[3]Simulação Dólar Fechada (US$)'!$A$1</f>
        <v>507082.35000000003</v>
      </c>
    </row>
    <row r="13" spans="1:18" ht="24" x14ac:dyDescent="0.25">
      <c r="A13" s="110" t="s">
        <v>199</v>
      </c>
      <c r="B13" s="106">
        <f>'[3]Simulação Real Fechada'!B13/'[3]Simulação Dólar Fechada (US$)'!$A$1</f>
        <v>390845.41470588231</v>
      </c>
      <c r="C13" s="106">
        <f>'[3]Simulação Real Fechada'!C13/'[3]Simulação Dólar Fechada (US$)'!$A$1</f>
        <v>0</v>
      </c>
      <c r="D13" s="106">
        <f>'[3]Simulação Real Fechada'!D13/'[3]Simulação Dólar Fechada (US$)'!$A$1</f>
        <v>390845.41470588231</v>
      </c>
      <c r="F13" s="106">
        <f>'[3]Simulação Real Fechada'!N13/'[3]Simulação Dólar Fechada (US$)'!$A$1</f>
        <v>0</v>
      </c>
      <c r="G13" s="106">
        <f>'[3]Simulação Real Fechada'!O13/'[3]Simulação Dólar Fechada (US$)'!$A$1</f>
        <v>0</v>
      </c>
      <c r="H13" s="106">
        <f>'[3]Simulação Real Fechada'!X13/'[3]Simulação Dólar Fechada (US$)'!$A$1</f>
        <v>0</v>
      </c>
      <c r="I13" s="106">
        <f>'[3]Simulação Real Fechada'!Y13/'[3]Simulação Dólar Fechada (US$)'!$A$1</f>
        <v>0</v>
      </c>
      <c r="J13" s="106">
        <f>'[3]Simulação Real Fechada'!AH13/'[3]Simulação Dólar Fechada (US$)'!$A$1</f>
        <v>390845.41470588231</v>
      </c>
      <c r="K13" s="106">
        <f>'[3]Simulação Real Fechada'!AI13/'[3]Simulação Dólar Fechada (US$)'!$A$1</f>
        <v>0</v>
      </c>
      <c r="L13" s="106">
        <f>'[3]Simulação Real Fechada'!AR13/'[3]Simulação Dólar Fechada (US$)'!$A$1</f>
        <v>0</v>
      </c>
      <c r="M13" s="106">
        <f>'[3]Simulação Real Fechada'!AS13/'[3]Simulação Dólar Fechada (US$)'!$A$1</f>
        <v>0</v>
      </c>
      <c r="N13" s="106">
        <f>'[3]Simulação Real Fechada'!BB13/'[3]Simulação Dólar Fechada (US$)'!$A$1</f>
        <v>0</v>
      </c>
      <c r="O13" s="106">
        <f>'[3]Simulação Real Fechada'!BC13/'[3]Simulação Dólar Fechada (US$)'!$A$1</f>
        <v>0</v>
      </c>
      <c r="P13" s="106">
        <f>'[3]Simulação Real Fechada'!BD13/'[3]Simulação Dólar Fechada (US$)'!$A$1</f>
        <v>390845.41470588231</v>
      </c>
      <c r="Q13" s="106">
        <f>'[3]Simulação Real Fechada'!BE13/'[3]Simulação Dólar Fechada (US$)'!$A$1</f>
        <v>0</v>
      </c>
      <c r="R13" s="106">
        <f>'[3]Simulação Real Fechada'!BF13/'[3]Simulação Dólar Fechada (US$)'!$A$1</f>
        <v>390845.41470588231</v>
      </c>
    </row>
    <row r="14" spans="1:18" ht="36" x14ac:dyDescent="0.25">
      <c r="A14" s="161" t="s">
        <v>200</v>
      </c>
      <c r="B14" s="106">
        <f>'[3]Simulação Real Fechada'!B14/'[3]Simulação Dólar Fechada (US$)'!$A$1</f>
        <v>1675777.7852941176</v>
      </c>
      <c r="C14" s="106">
        <f>'[3]Simulação Real Fechada'!C14/'[3]Simulação Dólar Fechada (US$)'!$A$1</f>
        <v>588235.29411764711</v>
      </c>
      <c r="D14" s="106">
        <f>'[3]Simulação Real Fechada'!D14/'[3]Simulação Dólar Fechada (US$)'!$A$1</f>
        <v>2264013.0794117646</v>
      </c>
      <c r="F14" s="106">
        <f>'[3]Simulação Real Fechada'!N14/'[3]Simulação Dólar Fechada (US$)'!$A$1</f>
        <v>0</v>
      </c>
      <c r="G14" s="106">
        <f>'[3]Simulação Real Fechada'!O14/'[3]Simulação Dólar Fechada (US$)'!$A$1</f>
        <v>588235.29411764711</v>
      </c>
      <c r="H14" s="106">
        <f>'[3]Simulação Real Fechada'!X14/'[3]Simulação Dólar Fechada (US$)'!$A$1</f>
        <v>1675777.7852941176</v>
      </c>
      <c r="I14" s="106">
        <f>'[3]Simulação Real Fechada'!Y14/'[3]Simulação Dólar Fechada (US$)'!$A$1</f>
        <v>0</v>
      </c>
      <c r="J14" s="106">
        <f>'[3]Simulação Real Fechada'!AH14/'[3]Simulação Dólar Fechada (US$)'!$A$1</f>
        <v>0</v>
      </c>
      <c r="K14" s="106">
        <f>'[3]Simulação Real Fechada'!AI14/'[3]Simulação Dólar Fechada (US$)'!$A$1</f>
        <v>0</v>
      </c>
      <c r="L14" s="106">
        <f>'[3]Simulação Real Fechada'!AR14/'[3]Simulação Dólar Fechada (US$)'!$A$1</f>
        <v>0</v>
      </c>
      <c r="M14" s="106">
        <f>'[3]Simulação Real Fechada'!AS14/'[3]Simulação Dólar Fechada (US$)'!$A$1</f>
        <v>0</v>
      </c>
      <c r="N14" s="106">
        <f>'[3]Simulação Real Fechada'!BB14/'[3]Simulação Dólar Fechada (US$)'!$A$1</f>
        <v>0</v>
      </c>
      <c r="O14" s="106">
        <f>'[3]Simulação Real Fechada'!BC14/'[3]Simulação Dólar Fechada (US$)'!$A$1</f>
        <v>0</v>
      </c>
      <c r="P14" s="106">
        <f>'[3]Simulação Real Fechada'!BD14/'[3]Simulação Dólar Fechada (US$)'!$A$1</f>
        <v>1675777.7852941176</v>
      </c>
      <c r="Q14" s="106">
        <f>'[3]Simulação Real Fechada'!BE14/'[3]Simulação Dólar Fechada (US$)'!$A$1</f>
        <v>588235.29411764711</v>
      </c>
      <c r="R14" s="106">
        <f>'[3]Simulação Real Fechada'!BF14/'[3]Simulação Dólar Fechada (US$)'!$A$1</f>
        <v>2264013.0794117646</v>
      </c>
    </row>
    <row r="15" spans="1:18" ht="24" x14ac:dyDescent="0.25">
      <c r="A15" s="212" t="s">
        <v>118</v>
      </c>
      <c r="B15" s="103">
        <f>'[3]Simulação Real Fechada'!B15/'[3]Simulação Dólar Fechada (US$)'!$A$1</f>
        <v>13254543.991176469</v>
      </c>
      <c r="C15" s="103">
        <f>'[3]Simulação Real Fechada'!C15/'[3]Simulação Dólar Fechada (US$)'!$A$1</f>
        <v>45751856.132941179</v>
      </c>
      <c r="D15" s="103">
        <f>'[3]Simulação Real Fechada'!D15/'[3]Simulação Dólar Fechada (US$)'!$A$1</f>
        <v>59006400.124117643</v>
      </c>
      <c r="F15" s="103">
        <f>'[3]Simulação Real Fechada'!N15/'[3]Simulação Dólar Fechada (US$)'!$A$1</f>
        <v>10801247.647058824</v>
      </c>
      <c r="G15" s="103">
        <f>'[3]Simulação Real Fechada'!O15/'[3]Simulação Dólar Fechada (US$)'!$A$1</f>
        <v>10191590.462352943</v>
      </c>
      <c r="H15" s="103">
        <f>'[3]Simulação Real Fechada'!X15/'[3]Simulação Dólar Fechada (US$)'!$A$1</f>
        <v>1176930.3235294116</v>
      </c>
      <c r="I15" s="103">
        <f>'[3]Simulação Real Fechada'!Y15/'[3]Simulação Dólar Fechada (US$)'!$A$1</f>
        <v>8498306.1764705889</v>
      </c>
      <c r="J15" s="103">
        <f>'[3]Simulação Real Fechada'!AH15/'[3]Simulação Dólar Fechada (US$)'!$A$1</f>
        <v>1276366.0205882352</v>
      </c>
      <c r="K15" s="103">
        <f>'[3]Simulação Real Fechada'!AI15/'[3]Simulação Dólar Fechada (US$)'!$A$1</f>
        <v>27061959.494117647</v>
      </c>
      <c r="L15" s="103">
        <f>'[3]Simulação Real Fechada'!AR15/'[3]Simulação Dólar Fechada (US$)'!$A$1</f>
        <v>0</v>
      </c>
      <c r="M15" s="103">
        <f>'[3]Simulação Real Fechada'!AS15/'[3]Simulação Dólar Fechada (US$)'!$A$1</f>
        <v>0</v>
      </c>
      <c r="N15" s="103">
        <f>'[3]Simulação Real Fechada'!BB15/'[3]Simulação Dólar Fechada (US$)'!$A$1</f>
        <v>0</v>
      </c>
      <c r="O15" s="103">
        <f>'[3]Simulação Real Fechada'!BC15/'[3]Simulação Dólar Fechada (US$)'!$A$1</f>
        <v>0</v>
      </c>
      <c r="P15" s="103">
        <f>'[3]Simulação Real Fechada'!BD15/'[3]Simulação Dólar Fechada (US$)'!$A$1</f>
        <v>13254543.991176469</v>
      </c>
      <c r="Q15" s="103">
        <f>'[3]Simulação Real Fechada'!BE15/'[3]Simulação Dólar Fechada (US$)'!$A$1</f>
        <v>45751856.132941179</v>
      </c>
      <c r="R15" s="103">
        <f>'[3]Simulação Real Fechada'!BF15/'[3]Simulação Dólar Fechada (US$)'!$A$1</f>
        <v>59006400.124117643</v>
      </c>
    </row>
    <row r="16" spans="1:18" x14ac:dyDescent="0.25">
      <c r="A16" s="213" t="s">
        <v>201</v>
      </c>
      <c r="B16" s="106">
        <f>'[3]Simulação Real Fechada'!B16/'[3]Simulação Dólar Fechada (US$)'!$A$1</f>
        <v>0</v>
      </c>
      <c r="C16" s="106">
        <f>'[3]Simulação Real Fechada'!C16/'[3]Simulação Dólar Fechada (US$)'!$A$1</f>
        <v>0</v>
      </c>
      <c r="D16" s="106">
        <f>'[3]Simulação Real Fechada'!D16/'[3]Simulação Dólar Fechada (US$)'!$A$1</f>
        <v>0</v>
      </c>
      <c r="F16" s="106">
        <f>'[3]Simulação Real Fechada'!N16/'[3]Simulação Dólar Fechada (US$)'!$A$1</f>
        <v>0</v>
      </c>
      <c r="G16" s="106">
        <f>'[3]Simulação Real Fechada'!O16/'[3]Simulação Dólar Fechada (US$)'!$A$1</f>
        <v>0</v>
      </c>
      <c r="H16" s="106">
        <f>'[3]Simulação Real Fechada'!X16/'[3]Simulação Dólar Fechada (US$)'!$A$1</f>
        <v>0</v>
      </c>
      <c r="I16" s="106">
        <f>'[3]Simulação Real Fechada'!Y16/'[3]Simulação Dólar Fechada (US$)'!$A$1</f>
        <v>0</v>
      </c>
      <c r="J16" s="106">
        <f>'[3]Simulação Real Fechada'!AH16/'[3]Simulação Dólar Fechada (US$)'!$A$1</f>
        <v>0</v>
      </c>
      <c r="K16" s="106">
        <f>'[3]Simulação Real Fechada'!AI16/'[3]Simulação Dólar Fechada (US$)'!$A$1</f>
        <v>0</v>
      </c>
      <c r="L16" s="106">
        <f>'[3]Simulação Real Fechada'!AR16/'[3]Simulação Dólar Fechada (US$)'!$A$1</f>
        <v>0</v>
      </c>
      <c r="M16" s="106">
        <f>'[3]Simulação Real Fechada'!AS16/'[3]Simulação Dólar Fechada (US$)'!$A$1</f>
        <v>0</v>
      </c>
      <c r="N16" s="106">
        <f>'[3]Simulação Real Fechada'!BB16/'[3]Simulação Dólar Fechada (US$)'!$A$1</f>
        <v>0</v>
      </c>
      <c r="O16" s="106">
        <f>'[3]Simulação Real Fechada'!BC16/'[3]Simulação Dólar Fechada (US$)'!$A$1</f>
        <v>0</v>
      </c>
      <c r="P16" s="106">
        <f>'[3]Simulação Real Fechada'!BD16/'[3]Simulação Dólar Fechada (US$)'!$A$1</f>
        <v>0</v>
      </c>
      <c r="Q16" s="106">
        <f>'[3]Simulação Real Fechada'!BE16/'[3]Simulação Dólar Fechada (US$)'!$A$1</f>
        <v>0</v>
      </c>
      <c r="R16" s="106">
        <f>'[3]Simulação Real Fechada'!BF16/'[3]Simulação Dólar Fechada (US$)'!$A$1</f>
        <v>0</v>
      </c>
    </row>
    <row r="17" spans="1:18" x14ac:dyDescent="0.25">
      <c r="A17" s="214" t="s">
        <v>202</v>
      </c>
      <c r="B17" s="106">
        <f>'[3]Simulação Real Fechada'!B17/'[3]Simulação Dólar Fechada (US$)'!$A$1</f>
        <v>10801247.647058824</v>
      </c>
      <c r="C17" s="106">
        <f>'[3]Simulação Real Fechada'!C17/'[3]Simulação Dólar Fechada (US$)'!$A$1</f>
        <v>4591978.2352941176</v>
      </c>
      <c r="D17" s="106">
        <f>'[3]Simulação Real Fechada'!D17/'[3]Simulação Dólar Fechada (US$)'!$A$1</f>
        <v>15393225.882352941</v>
      </c>
      <c r="F17" s="106">
        <f>'[3]Simulação Real Fechada'!N17/'[3]Simulação Dólar Fechada (US$)'!$A$1</f>
        <v>10801247.647058824</v>
      </c>
      <c r="G17" s="106">
        <f>'[3]Simulação Real Fechada'!O17/'[3]Simulação Dólar Fechada (US$)'!$A$1</f>
        <v>4591978.2352941176</v>
      </c>
      <c r="H17" s="106">
        <f>'[3]Simulação Real Fechada'!X17/'[3]Simulação Dólar Fechada (US$)'!$A$1</f>
        <v>0</v>
      </c>
      <c r="I17" s="106">
        <f>'[3]Simulação Real Fechada'!Y17/'[3]Simulação Dólar Fechada (US$)'!$A$1</f>
        <v>0</v>
      </c>
      <c r="J17" s="106">
        <f>'[3]Simulação Real Fechada'!AH17/'[3]Simulação Dólar Fechada (US$)'!$A$1</f>
        <v>0</v>
      </c>
      <c r="K17" s="106">
        <f>'[3]Simulação Real Fechada'!AI17/'[3]Simulação Dólar Fechada (US$)'!$A$1</f>
        <v>0</v>
      </c>
      <c r="L17" s="106">
        <f>'[3]Simulação Real Fechada'!AR17/'[3]Simulação Dólar Fechada (US$)'!$A$1</f>
        <v>0</v>
      </c>
      <c r="M17" s="106">
        <f>'[3]Simulação Real Fechada'!AS17/'[3]Simulação Dólar Fechada (US$)'!$A$1</f>
        <v>0</v>
      </c>
      <c r="N17" s="106">
        <f>'[3]Simulação Real Fechada'!BB17/'[3]Simulação Dólar Fechada (US$)'!$A$1</f>
        <v>0</v>
      </c>
      <c r="O17" s="106">
        <f>'[3]Simulação Real Fechada'!BC17/'[3]Simulação Dólar Fechada (US$)'!$A$1</f>
        <v>0</v>
      </c>
      <c r="P17" s="106">
        <f>'[3]Simulação Real Fechada'!BD17/'[3]Simulação Dólar Fechada (US$)'!$A$1</f>
        <v>10801247.647058824</v>
      </c>
      <c r="Q17" s="106">
        <f>'[3]Simulação Real Fechada'!BE17/'[3]Simulação Dólar Fechada (US$)'!$A$1</f>
        <v>4591978.2352941176</v>
      </c>
      <c r="R17" s="106">
        <f>'[3]Simulação Real Fechada'!BF17/'[3]Simulação Dólar Fechada (US$)'!$A$1</f>
        <v>15393225.882352941</v>
      </c>
    </row>
    <row r="18" spans="1:18" ht="24" x14ac:dyDescent="0.25">
      <c r="A18" s="215" t="s">
        <v>203</v>
      </c>
      <c r="B18" s="106">
        <f>'[3]Simulação Real Fechada'!B18/'[3]Simulação Dólar Fechada (US$)'!$A$1</f>
        <v>0</v>
      </c>
      <c r="C18" s="106">
        <f>'[3]Simulação Real Fechada'!C18/'[3]Simulação Dólar Fechada (US$)'!$A$1</f>
        <v>39566297.01529412</v>
      </c>
      <c r="D18" s="106">
        <f>'[3]Simulação Real Fechada'!D18/'[3]Simulação Dólar Fechada (US$)'!$A$1</f>
        <v>39566297.01529412</v>
      </c>
      <c r="F18" s="106">
        <f>'[3]Simulação Real Fechada'!N18/'[3]Simulação Dólar Fechada (US$)'!$A$1</f>
        <v>0</v>
      </c>
      <c r="G18" s="106">
        <f>'[3]Simulação Real Fechada'!O18/'[3]Simulação Dólar Fechada (US$)'!$A$1</f>
        <v>4006031.3447058834</v>
      </c>
      <c r="H18" s="106">
        <f>'[3]Simulação Real Fechada'!X18/'[3]Simulação Dólar Fechada (US$)'!$A$1</f>
        <v>0</v>
      </c>
      <c r="I18" s="106">
        <f>'[3]Simulação Real Fechada'!Y18/'[3]Simulação Dólar Fechada (US$)'!$A$1</f>
        <v>8498306.1764705889</v>
      </c>
      <c r="J18" s="106">
        <f>'[3]Simulação Real Fechada'!AH18/'[3]Simulação Dólar Fechada (US$)'!$A$1</f>
        <v>0</v>
      </c>
      <c r="K18" s="106">
        <f>'[3]Simulação Real Fechada'!AI18/'[3]Simulação Dólar Fechada (US$)'!$A$1</f>
        <v>27061959.494117647</v>
      </c>
      <c r="L18" s="106">
        <f>'[3]Simulação Real Fechada'!AR18/'[3]Simulação Dólar Fechada (US$)'!$A$1</f>
        <v>0</v>
      </c>
      <c r="M18" s="106">
        <f>'[3]Simulação Real Fechada'!AS18/'[3]Simulação Dólar Fechada (US$)'!$A$1</f>
        <v>0</v>
      </c>
      <c r="N18" s="106">
        <f>'[3]Simulação Real Fechada'!BB18/'[3]Simulação Dólar Fechada (US$)'!$A$1</f>
        <v>0</v>
      </c>
      <c r="O18" s="106">
        <f>'[3]Simulação Real Fechada'!BC18/'[3]Simulação Dólar Fechada (US$)'!$A$1</f>
        <v>0</v>
      </c>
      <c r="P18" s="106">
        <f>'[3]Simulação Real Fechada'!BD18/'[3]Simulação Dólar Fechada (US$)'!$A$1</f>
        <v>0</v>
      </c>
      <c r="Q18" s="106">
        <f>'[3]Simulação Real Fechada'!BE18/'[3]Simulação Dólar Fechada (US$)'!$A$1</f>
        <v>39566297.01529412</v>
      </c>
      <c r="R18" s="106">
        <f>'[3]Simulação Real Fechada'!BF18/'[3]Simulação Dólar Fechada (US$)'!$A$1</f>
        <v>39566297.01529412</v>
      </c>
    </row>
    <row r="19" spans="1:18" ht="24" x14ac:dyDescent="0.25">
      <c r="A19" s="110" t="s">
        <v>198</v>
      </c>
      <c r="B19" s="106">
        <f>'[3]Simulação Real Fechada'!B19/'[3]Simulação Dólar Fechada (US$)'!$A$1</f>
        <v>386673.14411764703</v>
      </c>
      <c r="C19" s="106">
        <f>'[3]Simulação Real Fechada'!C19/'[3]Simulação Dólar Fechada (US$)'!$A$1</f>
        <v>0</v>
      </c>
      <c r="D19" s="106">
        <f>'[3]Simulação Real Fechada'!D19/'[3]Simulação Dólar Fechada (US$)'!$A$1</f>
        <v>386673.14411764703</v>
      </c>
      <c r="F19" s="106">
        <f>'[3]Simulação Real Fechada'!N19/'[3]Simulação Dólar Fechada (US$)'!$A$1</f>
        <v>0</v>
      </c>
      <c r="G19" s="106">
        <f>'[3]Simulação Real Fechada'!O19/'[3]Simulação Dólar Fechada (US$)'!$A$1</f>
        <v>0</v>
      </c>
      <c r="H19" s="106">
        <f>'[3]Simulação Real Fechada'!X19/'[3]Simulação Dólar Fechada (US$)'!$A$1</f>
        <v>386673.14411764703</v>
      </c>
      <c r="I19" s="106">
        <f>'[3]Simulação Real Fechada'!Y19/'[3]Simulação Dólar Fechada (US$)'!$A$1</f>
        <v>0</v>
      </c>
      <c r="J19" s="106">
        <f>'[3]Simulação Real Fechada'!AH19/'[3]Simulação Dólar Fechada (US$)'!$A$1</f>
        <v>0</v>
      </c>
      <c r="K19" s="106">
        <f>'[3]Simulação Real Fechada'!AI19/'[3]Simulação Dólar Fechada (US$)'!$A$1</f>
        <v>0</v>
      </c>
      <c r="L19" s="106">
        <f>'[3]Simulação Real Fechada'!AR19/'[3]Simulação Dólar Fechada (US$)'!$A$1</f>
        <v>0</v>
      </c>
      <c r="M19" s="106">
        <f>'[3]Simulação Real Fechada'!AS19/'[3]Simulação Dólar Fechada (US$)'!$A$1</f>
        <v>0</v>
      </c>
      <c r="N19" s="106">
        <f>'[3]Simulação Real Fechada'!BB19/'[3]Simulação Dólar Fechada (US$)'!$A$1</f>
        <v>0</v>
      </c>
      <c r="O19" s="106">
        <f>'[3]Simulação Real Fechada'!BC19/'[3]Simulação Dólar Fechada (US$)'!$A$1</f>
        <v>0</v>
      </c>
      <c r="P19" s="106">
        <f>'[3]Simulação Real Fechada'!BD19/'[3]Simulação Dólar Fechada (US$)'!$A$1</f>
        <v>386673.14411764703</v>
      </c>
      <c r="Q19" s="106">
        <f>'[3]Simulação Real Fechada'!BE19/'[3]Simulação Dólar Fechada (US$)'!$A$1</f>
        <v>0</v>
      </c>
      <c r="R19" s="106">
        <f>'[3]Simulação Real Fechada'!BF19/'[3]Simulação Dólar Fechada (US$)'!$A$1</f>
        <v>386673.14411764703</v>
      </c>
    </row>
    <row r="20" spans="1:18" ht="24" x14ac:dyDescent="0.25">
      <c r="A20" s="110" t="s">
        <v>204</v>
      </c>
      <c r="B20" s="106">
        <f>'[3]Simulação Real Fechada'!B20/'[3]Simulação Dólar Fechada (US$)'!$A$1</f>
        <v>390845.41470588231</v>
      </c>
      <c r="C20" s="106">
        <f>'[3]Simulação Real Fechada'!C20/'[3]Simulação Dólar Fechada (US$)'!$A$1</f>
        <v>0</v>
      </c>
      <c r="D20" s="106">
        <f>'[3]Simulação Real Fechada'!D20/'[3]Simulação Dólar Fechada (US$)'!$A$1</f>
        <v>390845.41470588231</v>
      </c>
      <c r="F20" s="106">
        <f>'[3]Simulação Real Fechada'!N20/'[3]Simulação Dólar Fechada (US$)'!$A$1</f>
        <v>0</v>
      </c>
      <c r="G20" s="106">
        <f>'[3]Simulação Real Fechada'!O20/'[3]Simulação Dólar Fechada (US$)'!$A$1</f>
        <v>0</v>
      </c>
      <c r="H20" s="106">
        <f>'[3]Simulação Real Fechada'!X20/'[3]Simulação Dólar Fechada (US$)'!$A$1</f>
        <v>390845.41470588231</v>
      </c>
      <c r="I20" s="106">
        <f>'[3]Simulação Real Fechada'!Y20/'[3]Simulação Dólar Fechada (US$)'!$A$1</f>
        <v>0</v>
      </c>
      <c r="J20" s="106">
        <f>'[3]Simulação Real Fechada'!AH20/'[3]Simulação Dólar Fechada (US$)'!$A$1</f>
        <v>0</v>
      </c>
      <c r="K20" s="106">
        <f>'[3]Simulação Real Fechada'!AI20/'[3]Simulação Dólar Fechada (US$)'!$A$1</f>
        <v>0</v>
      </c>
      <c r="L20" s="106">
        <f>'[3]Simulação Real Fechada'!AR20/'[3]Simulação Dólar Fechada (US$)'!$A$1</f>
        <v>0</v>
      </c>
      <c r="M20" s="106">
        <f>'[3]Simulação Real Fechada'!AS20/'[3]Simulação Dólar Fechada (US$)'!$A$1</f>
        <v>0</v>
      </c>
      <c r="N20" s="106">
        <f>'[3]Simulação Real Fechada'!BB20/'[3]Simulação Dólar Fechada (US$)'!$A$1</f>
        <v>0</v>
      </c>
      <c r="O20" s="106">
        <f>'[3]Simulação Real Fechada'!BC20/'[3]Simulação Dólar Fechada (US$)'!$A$1</f>
        <v>0</v>
      </c>
      <c r="P20" s="106">
        <f>'[3]Simulação Real Fechada'!BD20/'[3]Simulação Dólar Fechada (US$)'!$A$1</f>
        <v>390845.41470588231</v>
      </c>
      <c r="Q20" s="106">
        <f>'[3]Simulação Real Fechada'!BE20/'[3]Simulação Dólar Fechada (US$)'!$A$1</f>
        <v>0</v>
      </c>
      <c r="R20" s="106">
        <f>'[3]Simulação Real Fechada'!BF20/'[3]Simulação Dólar Fechada (US$)'!$A$1</f>
        <v>390845.41470588231</v>
      </c>
    </row>
    <row r="21" spans="1:18" x14ac:dyDescent="0.25">
      <c r="A21" s="216" t="s">
        <v>136</v>
      </c>
      <c r="B21" s="106">
        <f>'[3]Simulação Real Fechada'!B21/'[3]Simulação Dólar Fechada (US$)'!$A$1</f>
        <v>1675777.7852941176</v>
      </c>
      <c r="C21" s="106">
        <f>'[3]Simulação Real Fechada'!C21/'[3]Simulação Dólar Fechada (US$)'!$A$1</f>
        <v>0</v>
      </c>
      <c r="D21" s="106">
        <f>'[3]Simulação Real Fechada'!D21/'[3]Simulação Dólar Fechada (US$)'!$A$1</f>
        <v>1675777.7852941176</v>
      </c>
      <c r="F21" s="106">
        <f>'[3]Simulação Real Fechada'!N21/'[3]Simulação Dólar Fechada (US$)'!$A$1</f>
        <v>0</v>
      </c>
      <c r="G21" s="106">
        <f>'[3]Simulação Real Fechada'!O21/'[3]Simulação Dólar Fechada (US$)'!$A$1</f>
        <v>0</v>
      </c>
      <c r="H21" s="106">
        <f>'[3]Simulação Real Fechada'!X21/'[3]Simulação Dólar Fechada (US$)'!$A$1</f>
        <v>399411.76470588235</v>
      </c>
      <c r="I21" s="106">
        <f>'[3]Simulação Real Fechada'!Y21/'[3]Simulação Dólar Fechada (US$)'!$A$1</f>
        <v>0</v>
      </c>
      <c r="J21" s="106">
        <f>'[3]Simulação Real Fechada'!AH21/'[3]Simulação Dólar Fechada (US$)'!$A$1</f>
        <v>1276366.0205882352</v>
      </c>
      <c r="K21" s="106">
        <f>'[3]Simulação Real Fechada'!AI21/'[3]Simulação Dólar Fechada (US$)'!$A$1</f>
        <v>0</v>
      </c>
      <c r="L21" s="106">
        <f>'[3]Simulação Real Fechada'!AR21/'[3]Simulação Dólar Fechada (US$)'!$A$1</f>
        <v>0</v>
      </c>
      <c r="M21" s="106">
        <f>'[3]Simulação Real Fechada'!AS21/'[3]Simulação Dólar Fechada (US$)'!$A$1</f>
        <v>0</v>
      </c>
      <c r="N21" s="106">
        <f>'[3]Simulação Real Fechada'!BB21/'[3]Simulação Dólar Fechada (US$)'!$A$1</f>
        <v>0</v>
      </c>
      <c r="O21" s="106">
        <f>'[3]Simulação Real Fechada'!BC21/'[3]Simulação Dólar Fechada (US$)'!$A$1</f>
        <v>0</v>
      </c>
      <c r="P21" s="106">
        <f>'[3]Simulação Real Fechada'!BD21/'[3]Simulação Dólar Fechada (US$)'!$A$1</f>
        <v>1675777.7852941176</v>
      </c>
      <c r="Q21" s="106">
        <f>'[3]Simulação Real Fechada'!BE21/'[3]Simulação Dólar Fechada (US$)'!$A$1</f>
        <v>0</v>
      </c>
      <c r="R21" s="106">
        <f>'[3]Simulação Real Fechada'!BF21/'[3]Simulação Dólar Fechada (US$)'!$A$1</f>
        <v>1675777.7852941176</v>
      </c>
    </row>
    <row r="22" spans="1:18" x14ac:dyDescent="0.25">
      <c r="A22" s="216" t="s">
        <v>205</v>
      </c>
      <c r="B22" s="106">
        <f>'[3]Simulação Real Fechada'!B22/'[3]Simulação Dólar Fechada (US$)'!$A$1</f>
        <v>0</v>
      </c>
      <c r="C22" s="106">
        <f>'[3]Simulação Real Fechada'!C22/'[3]Simulação Dólar Fechada (US$)'!$A$1</f>
        <v>1593580.8823529412</v>
      </c>
      <c r="D22" s="106">
        <f>'[3]Simulação Real Fechada'!D22/'[3]Simulação Dólar Fechada (US$)'!$A$1</f>
        <v>1593580.8823529412</v>
      </c>
      <c r="F22" s="106">
        <f>'[3]Simulação Real Fechada'!N22/'[3]Simulação Dólar Fechada (US$)'!$A$1</f>
        <v>0</v>
      </c>
      <c r="G22" s="106">
        <f>'[3]Simulação Real Fechada'!O22/'[3]Simulação Dólar Fechada (US$)'!$A$1</f>
        <v>1593580.8823529412</v>
      </c>
      <c r="H22" s="106">
        <f>'[3]Simulação Real Fechada'!X22/'[3]Simulação Dólar Fechada (US$)'!$A$1</f>
        <v>0</v>
      </c>
      <c r="I22" s="106">
        <f>'[3]Simulação Real Fechada'!Y22/'[3]Simulação Dólar Fechada (US$)'!$A$1</f>
        <v>0</v>
      </c>
      <c r="J22" s="106">
        <f>'[3]Simulação Real Fechada'!AH22/'[3]Simulação Dólar Fechada (US$)'!$A$1</f>
        <v>0</v>
      </c>
      <c r="K22" s="106">
        <f>'[3]Simulação Real Fechada'!AI22/'[3]Simulação Dólar Fechada (US$)'!$A$1</f>
        <v>0</v>
      </c>
      <c r="L22" s="106">
        <f>'[3]Simulação Real Fechada'!AR22/'[3]Simulação Dólar Fechada (US$)'!$A$1</f>
        <v>0</v>
      </c>
      <c r="M22" s="106">
        <f>'[3]Simulação Real Fechada'!AS22/'[3]Simulação Dólar Fechada (US$)'!$A$1</f>
        <v>0</v>
      </c>
      <c r="N22" s="106">
        <f>'[3]Simulação Real Fechada'!BB22/'[3]Simulação Dólar Fechada (US$)'!$A$1</f>
        <v>0</v>
      </c>
      <c r="O22" s="106">
        <f>'[3]Simulação Real Fechada'!BC22/'[3]Simulação Dólar Fechada (US$)'!$A$1</f>
        <v>0</v>
      </c>
      <c r="P22" s="106">
        <f>'[3]Simulação Real Fechada'!BD22/'[3]Simulação Dólar Fechada (US$)'!$A$1</f>
        <v>0</v>
      </c>
      <c r="Q22" s="106">
        <f>'[3]Simulação Real Fechada'!BE22/'[3]Simulação Dólar Fechada (US$)'!$A$1</f>
        <v>1593580.8823529412</v>
      </c>
      <c r="R22" s="106">
        <f>'[3]Simulação Real Fechada'!BF22/'[3]Simulação Dólar Fechada (US$)'!$A$1</f>
        <v>1593580.8823529412</v>
      </c>
    </row>
    <row r="23" spans="1:18" x14ac:dyDescent="0.25">
      <c r="A23" s="100" t="s">
        <v>139</v>
      </c>
      <c r="B23" s="101">
        <f>'[3]Simulação Real Fechada'!B23/'[3]Simulação Dólar Fechada (US$)'!$A$1</f>
        <v>6404117.6470588241</v>
      </c>
      <c r="C23" s="101">
        <f>'[3]Simulação Real Fechada'!C23/'[3]Simulação Dólar Fechada (US$)'!$A$1</f>
        <v>0</v>
      </c>
      <c r="D23" s="101">
        <f>'[3]Simulação Real Fechada'!D23/'[3]Simulação Dólar Fechada (US$)'!$A$1</f>
        <v>6404117.6470588241</v>
      </c>
      <c r="F23" s="101">
        <f>'[3]Simulação Real Fechada'!N23/'[3]Simulação Dólar Fechada (US$)'!$A$1</f>
        <v>208823.5294117647</v>
      </c>
      <c r="G23" s="101">
        <f>'[3]Simulação Real Fechada'!O23/'[3]Simulação Dólar Fechada (US$)'!$A$1</f>
        <v>0</v>
      </c>
      <c r="H23" s="101">
        <f>'[3]Simulação Real Fechada'!X23/'[3]Simulação Dólar Fechada (US$)'!$A$1</f>
        <v>1500464.705882353</v>
      </c>
      <c r="I23" s="101">
        <f>'[3]Simulação Real Fechada'!Y23/'[3]Simulação Dólar Fechada (US$)'!$A$1</f>
        <v>0</v>
      </c>
      <c r="J23" s="101">
        <f>'[3]Simulação Real Fechada'!AH23/'[3]Simulação Dólar Fechada (US$)'!$A$1</f>
        <v>2767011.7647058824</v>
      </c>
      <c r="K23" s="101">
        <f>'[3]Simulação Real Fechada'!AI23/'[3]Simulação Dólar Fechada (US$)'!$A$1</f>
        <v>0</v>
      </c>
      <c r="L23" s="101">
        <f>'[3]Simulação Real Fechada'!AR23/'[3]Simulação Dólar Fechada (US$)'!$A$1</f>
        <v>1564214.705882353</v>
      </c>
      <c r="M23" s="101">
        <f>'[3]Simulação Real Fechada'!AS23/'[3]Simulação Dólar Fechada (US$)'!$A$1</f>
        <v>0</v>
      </c>
      <c r="N23" s="101">
        <f>'[3]Simulação Real Fechada'!BB23/'[3]Simulação Dólar Fechada (US$)'!$A$1</f>
        <v>363602.9411764706</v>
      </c>
      <c r="O23" s="101">
        <f>'[3]Simulação Real Fechada'!BC23/'[3]Simulação Dólar Fechada (US$)'!$A$1</f>
        <v>0</v>
      </c>
      <c r="P23" s="101">
        <f>'[3]Simulação Real Fechada'!BD23/'[3]Simulação Dólar Fechada (US$)'!$A$1</f>
        <v>6404117.6470588241</v>
      </c>
      <c r="Q23" s="101">
        <f>'[3]Simulação Real Fechada'!BE23/'[3]Simulação Dólar Fechada (US$)'!$A$1</f>
        <v>0</v>
      </c>
      <c r="R23" s="101">
        <f>'[3]Simulação Real Fechada'!BF23/'[3]Simulação Dólar Fechada (US$)'!$A$1</f>
        <v>6404117.6470588241</v>
      </c>
    </row>
    <row r="24" spans="1:18" x14ac:dyDescent="0.25">
      <c r="A24" s="163" t="s">
        <v>140</v>
      </c>
      <c r="B24" s="106">
        <f>'[3]Simulação Real Fechada'!B24/'[3]Simulação Dólar Fechada (US$)'!$A$1</f>
        <v>983823.5294117647</v>
      </c>
      <c r="C24" s="106">
        <f>'[3]Simulação Real Fechada'!C24/'[3]Simulação Dólar Fechada (US$)'!$A$1</f>
        <v>0</v>
      </c>
      <c r="D24" s="106">
        <f>'[3]Simulação Real Fechada'!D24/'[3]Simulação Dólar Fechada (US$)'!$A$1</f>
        <v>983823.5294117647</v>
      </c>
      <c r="F24" s="106">
        <f>'[3]Simulação Real Fechada'!N24/'[3]Simulação Dólar Fechada (US$)'!$A$1</f>
        <v>0</v>
      </c>
      <c r="G24" s="106">
        <f>'[3]Simulação Real Fechada'!O24/'[3]Simulação Dólar Fechada (US$)'!$A$1</f>
        <v>0</v>
      </c>
      <c r="H24" s="106">
        <f>'[3]Simulação Real Fechada'!X24/'[3]Simulação Dólar Fechada (US$)'!$A$1</f>
        <v>0</v>
      </c>
      <c r="I24" s="106">
        <f>'[3]Simulação Real Fechada'!Y24/'[3]Simulação Dólar Fechada (US$)'!$A$1</f>
        <v>0</v>
      </c>
      <c r="J24" s="106">
        <f>'[3]Simulação Real Fechada'!AH24/'[3]Simulação Dólar Fechada (US$)'!$A$1</f>
        <v>0</v>
      </c>
      <c r="K24" s="106">
        <f>'[3]Simulação Real Fechada'!AI24/'[3]Simulação Dólar Fechada (US$)'!$A$1</f>
        <v>0</v>
      </c>
      <c r="L24" s="106">
        <f>'[3]Simulação Real Fechada'!AR24/'[3]Simulação Dólar Fechada (US$)'!$A$1</f>
        <v>620220.5882352941</v>
      </c>
      <c r="M24" s="106">
        <f>'[3]Simulação Real Fechada'!AS24/'[3]Simulação Dólar Fechada (US$)'!$A$1</f>
        <v>0</v>
      </c>
      <c r="N24" s="106">
        <f>'[3]Simulação Real Fechada'!BB24/'[3]Simulação Dólar Fechada (US$)'!$A$1</f>
        <v>363602.9411764706</v>
      </c>
      <c r="O24" s="106">
        <f>'[3]Simulação Real Fechada'!BC24/'[3]Simulação Dólar Fechada (US$)'!$A$1</f>
        <v>0</v>
      </c>
      <c r="P24" s="106">
        <f>'[3]Simulação Real Fechada'!BD24/'[3]Simulação Dólar Fechada (US$)'!$A$1</f>
        <v>983823.5294117647</v>
      </c>
      <c r="Q24" s="106">
        <f>'[3]Simulação Real Fechada'!BE24/'[3]Simulação Dólar Fechada (US$)'!$A$1</f>
        <v>0</v>
      </c>
      <c r="R24" s="106">
        <f>'[3]Simulação Real Fechada'!BF24/'[3]Simulação Dólar Fechada (US$)'!$A$1</f>
        <v>983823.5294117647</v>
      </c>
    </row>
    <row r="25" spans="1:18" x14ac:dyDescent="0.25">
      <c r="A25" s="162" t="s">
        <v>141</v>
      </c>
      <c r="B25" s="106">
        <f>'[3]Simulação Real Fechada'!B25/'[3]Simulação Dólar Fechada (US$)'!$A$1</f>
        <v>3996764.7058823532</v>
      </c>
      <c r="C25" s="106">
        <f>'[3]Simulação Real Fechada'!C25/'[3]Simulação Dólar Fechada (US$)'!$A$1</f>
        <v>0</v>
      </c>
      <c r="D25" s="106">
        <f>'[3]Simulação Real Fechada'!D25/'[3]Simulação Dólar Fechada (US$)'!$A$1</f>
        <v>3996764.7058823532</v>
      </c>
      <c r="F25" s="106">
        <f>'[3]Simulação Real Fechada'!N25/'[3]Simulação Dólar Fechada (US$)'!$A$1</f>
        <v>0</v>
      </c>
      <c r="G25" s="106">
        <f>'[3]Simulação Real Fechada'!O25/'[3]Simulação Dólar Fechada (US$)'!$A$1</f>
        <v>0</v>
      </c>
      <c r="H25" s="106">
        <f>'[3]Simulação Real Fechada'!X25/'[3]Simulação Dólar Fechada (US$)'!$A$1</f>
        <v>679288.23529411771</v>
      </c>
      <c r="I25" s="106">
        <f>'[3]Simulação Real Fechada'!Y25/'[3]Simulação Dólar Fechada (US$)'!$A$1</f>
        <v>0</v>
      </c>
      <c r="J25" s="106">
        <f>'[3]Simulação Real Fechada'!AH25/'[3]Simulação Dólar Fechada (US$)'!$A$1</f>
        <v>2373482.3529411764</v>
      </c>
      <c r="K25" s="106">
        <f>'[3]Simulação Real Fechada'!AI25/'[3]Simulação Dólar Fechada (US$)'!$A$1</f>
        <v>0</v>
      </c>
      <c r="L25" s="106">
        <f>'[3]Simulação Real Fechada'!AR25/'[3]Simulação Dólar Fechada (US$)'!$A$1</f>
        <v>943994.1176470588</v>
      </c>
      <c r="M25" s="106">
        <f>'[3]Simulação Real Fechada'!AS25/'[3]Simulação Dólar Fechada (US$)'!$A$1</f>
        <v>0</v>
      </c>
      <c r="N25" s="106">
        <f>'[3]Simulação Real Fechada'!BB25/'[3]Simulação Dólar Fechada (US$)'!$A$1</f>
        <v>0</v>
      </c>
      <c r="O25" s="106">
        <f>'[3]Simulação Real Fechada'!BC25/'[3]Simulação Dólar Fechada (US$)'!$A$1</f>
        <v>0</v>
      </c>
      <c r="P25" s="106">
        <f>'[3]Simulação Real Fechada'!BD25/'[3]Simulação Dólar Fechada (US$)'!$A$1</f>
        <v>3996764.7058823532</v>
      </c>
      <c r="Q25" s="106">
        <f>'[3]Simulação Real Fechada'!BE25/'[3]Simulação Dólar Fechada (US$)'!$A$1</f>
        <v>0</v>
      </c>
      <c r="R25" s="106">
        <f>'[3]Simulação Real Fechada'!BF25/'[3]Simulação Dólar Fechada (US$)'!$A$1</f>
        <v>3996764.7058823532</v>
      </c>
    </row>
    <row r="26" spans="1:18" ht="24" x14ac:dyDescent="0.25">
      <c r="A26" s="161" t="s">
        <v>145</v>
      </c>
      <c r="B26" s="106">
        <f>'[3]Simulação Real Fechada'!B26/'[3]Simulação Dólar Fechada (US$)'!$A$1</f>
        <v>102941.17647058824</v>
      </c>
      <c r="C26" s="106">
        <f>'[3]Simulação Real Fechada'!C26/'[3]Simulação Dólar Fechada (US$)'!$A$1</f>
        <v>0</v>
      </c>
      <c r="D26" s="106">
        <f>'[3]Simulação Real Fechada'!D26/'[3]Simulação Dólar Fechada (US$)'!$A$1</f>
        <v>102941.17647058824</v>
      </c>
      <c r="F26" s="106">
        <f>'[3]Simulação Real Fechada'!N26/'[3]Simulação Dólar Fechada (US$)'!$A$1</f>
        <v>102941.17647058824</v>
      </c>
      <c r="G26" s="106">
        <f>'[3]Simulação Real Fechada'!O26/'[3]Simulação Dólar Fechada (US$)'!$A$1</f>
        <v>0</v>
      </c>
      <c r="H26" s="106">
        <f>'[3]Simulação Real Fechada'!X26/'[3]Simulação Dólar Fechada (US$)'!$A$1</f>
        <v>0</v>
      </c>
      <c r="I26" s="106">
        <f>'[3]Simulação Real Fechada'!Y26/'[3]Simulação Dólar Fechada (US$)'!$A$1</f>
        <v>0</v>
      </c>
      <c r="J26" s="106">
        <f>'[3]Simulação Real Fechada'!AH26/'[3]Simulação Dólar Fechada (US$)'!$A$1</f>
        <v>0</v>
      </c>
      <c r="K26" s="106">
        <f>'[3]Simulação Real Fechada'!AI26/'[3]Simulação Dólar Fechada (US$)'!$A$1</f>
        <v>0</v>
      </c>
      <c r="L26" s="106">
        <f>'[3]Simulação Real Fechada'!AR26/'[3]Simulação Dólar Fechada (US$)'!$A$1</f>
        <v>0</v>
      </c>
      <c r="M26" s="106">
        <f>'[3]Simulação Real Fechada'!AS26/'[3]Simulação Dólar Fechada (US$)'!$A$1</f>
        <v>0</v>
      </c>
      <c r="N26" s="106">
        <f>'[3]Simulação Real Fechada'!BB26/'[3]Simulação Dólar Fechada (US$)'!$A$1</f>
        <v>0</v>
      </c>
      <c r="O26" s="106">
        <f>'[3]Simulação Real Fechada'!BC26/'[3]Simulação Dólar Fechada (US$)'!$A$1</f>
        <v>0</v>
      </c>
      <c r="P26" s="106">
        <f>'[3]Simulação Real Fechada'!BD26/'[3]Simulação Dólar Fechada (US$)'!$A$1</f>
        <v>102941.17647058824</v>
      </c>
      <c r="Q26" s="106">
        <f>'[3]Simulação Real Fechada'!BE26/'[3]Simulação Dólar Fechada (US$)'!$A$1</f>
        <v>0</v>
      </c>
      <c r="R26" s="106">
        <f>'[3]Simulação Real Fechada'!BF26/'[3]Simulação Dólar Fechada (US$)'!$A$1</f>
        <v>102941.17647058824</v>
      </c>
    </row>
    <row r="27" spans="1:18" x14ac:dyDescent="0.25">
      <c r="A27" s="110" t="s">
        <v>146</v>
      </c>
      <c r="B27" s="106">
        <f>'[3]Simulação Real Fechada'!B27/'[3]Simulação Dólar Fechada (US$)'!$A$1</f>
        <v>58823.529411764706</v>
      </c>
      <c r="C27" s="106">
        <f>'[3]Simulação Real Fechada'!C27/'[3]Simulação Dólar Fechada (US$)'!$A$1</f>
        <v>0</v>
      </c>
      <c r="D27" s="106">
        <f>'[3]Simulação Real Fechada'!D27/'[3]Simulação Dólar Fechada (US$)'!$A$1</f>
        <v>58823.529411764706</v>
      </c>
      <c r="F27" s="106">
        <f>'[3]Simulação Real Fechada'!N27/'[3]Simulação Dólar Fechada (US$)'!$A$1</f>
        <v>0</v>
      </c>
      <c r="G27" s="106">
        <f>'[3]Simulação Real Fechada'!O27/'[3]Simulação Dólar Fechada (US$)'!$A$1</f>
        <v>0</v>
      </c>
      <c r="H27" s="106">
        <f>'[3]Simulação Real Fechada'!X27/'[3]Simulação Dólar Fechada (US$)'!$A$1</f>
        <v>58823.529411764706</v>
      </c>
      <c r="I27" s="106">
        <f>'[3]Simulação Real Fechada'!Y27/'[3]Simulação Dólar Fechada (US$)'!$A$1</f>
        <v>0</v>
      </c>
      <c r="J27" s="106">
        <f>'[3]Simulação Real Fechada'!AH27/'[3]Simulação Dólar Fechada (US$)'!$A$1</f>
        <v>0</v>
      </c>
      <c r="K27" s="106">
        <f>'[3]Simulação Real Fechada'!AI27/'[3]Simulação Dólar Fechada (US$)'!$A$1</f>
        <v>0</v>
      </c>
      <c r="L27" s="106">
        <f>'[3]Simulação Real Fechada'!AR27/'[3]Simulação Dólar Fechada (US$)'!$A$1</f>
        <v>0</v>
      </c>
      <c r="M27" s="106">
        <f>'[3]Simulação Real Fechada'!AS27/'[3]Simulação Dólar Fechada (US$)'!$A$1</f>
        <v>0</v>
      </c>
      <c r="N27" s="106">
        <f>'[3]Simulação Real Fechada'!BB27/'[3]Simulação Dólar Fechada (US$)'!$A$1</f>
        <v>0</v>
      </c>
      <c r="O27" s="106">
        <f>'[3]Simulação Real Fechada'!BC27/'[3]Simulação Dólar Fechada (US$)'!$A$1</f>
        <v>0</v>
      </c>
      <c r="P27" s="106">
        <f>'[3]Simulação Real Fechada'!BD27/'[3]Simulação Dólar Fechada (US$)'!$A$1</f>
        <v>58823.529411764706</v>
      </c>
      <c r="Q27" s="106">
        <f>'[3]Simulação Real Fechada'!BE27/'[3]Simulação Dólar Fechada (US$)'!$A$1</f>
        <v>0</v>
      </c>
      <c r="R27" s="106">
        <f>'[3]Simulação Real Fechada'!BF27/'[3]Simulação Dólar Fechada (US$)'!$A$1</f>
        <v>58823.529411764706</v>
      </c>
    </row>
    <row r="28" spans="1:18" ht="36" x14ac:dyDescent="0.25">
      <c r="A28" s="161" t="s">
        <v>147</v>
      </c>
      <c r="B28" s="106">
        <f>'[3]Simulação Real Fechada'!B28/'[3]Simulação Dólar Fechada (US$)'!$A$1</f>
        <v>105882.35294117648</v>
      </c>
      <c r="C28" s="106">
        <f>'[3]Simulação Real Fechada'!C28/'[3]Simulação Dólar Fechada (US$)'!$A$1</f>
        <v>0</v>
      </c>
      <c r="D28" s="106">
        <f>'[3]Simulação Real Fechada'!D28/'[3]Simulação Dólar Fechada (US$)'!$A$1</f>
        <v>105882.35294117648</v>
      </c>
      <c r="F28" s="106">
        <f>'[3]Simulação Real Fechada'!N28/'[3]Simulação Dólar Fechada (US$)'!$A$1</f>
        <v>105882.35294117648</v>
      </c>
      <c r="G28" s="106">
        <f>'[3]Simulação Real Fechada'!O28/'[3]Simulação Dólar Fechada (US$)'!$A$1</f>
        <v>0</v>
      </c>
      <c r="H28" s="106">
        <f>'[3]Simulação Real Fechada'!X28/'[3]Simulação Dólar Fechada (US$)'!$A$1</f>
        <v>0</v>
      </c>
      <c r="I28" s="106">
        <f>'[3]Simulação Real Fechada'!Y28/'[3]Simulação Dólar Fechada (US$)'!$A$1</f>
        <v>0</v>
      </c>
      <c r="J28" s="106">
        <f>'[3]Simulação Real Fechada'!AH28/'[3]Simulação Dólar Fechada (US$)'!$A$1</f>
        <v>0</v>
      </c>
      <c r="K28" s="106">
        <f>'[3]Simulação Real Fechada'!AI28/'[3]Simulação Dólar Fechada (US$)'!$A$1</f>
        <v>0</v>
      </c>
      <c r="L28" s="106">
        <f>'[3]Simulação Real Fechada'!AR28/'[3]Simulação Dólar Fechada (US$)'!$A$1</f>
        <v>0</v>
      </c>
      <c r="M28" s="106">
        <f>'[3]Simulação Real Fechada'!AS28/'[3]Simulação Dólar Fechada (US$)'!$A$1</f>
        <v>0</v>
      </c>
      <c r="N28" s="106">
        <f>'[3]Simulação Real Fechada'!BB28/'[3]Simulação Dólar Fechada (US$)'!$A$1</f>
        <v>0</v>
      </c>
      <c r="O28" s="106">
        <f>'[3]Simulação Real Fechada'!BC28/'[3]Simulação Dólar Fechada (US$)'!$A$1</f>
        <v>0</v>
      </c>
      <c r="P28" s="106">
        <f>'[3]Simulação Real Fechada'!BD28/'[3]Simulação Dólar Fechada (US$)'!$A$1</f>
        <v>105882.35294117648</v>
      </c>
      <c r="Q28" s="106">
        <f>'[3]Simulação Real Fechada'!BE28/'[3]Simulação Dólar Fechada (US$)'!$A$1</f>
        <v>0</v>
      </c>
      <c r="R28" s="106">
        <f>'[3]Simulação Real Fechada'!BF28/'[3]Simulação Dólar Fechada (US$)'!$A$1</f>
        <v>105882.35294117648</v>
      </c>
    </row>
    <row r="29" spans="1:18" x14ac:dyDescent="0.25">
      <c r="A29" s="162" t="s">
        <v>148</v>
      </c>
      <c r="B29" s="106">
        <f>'[3]Simulação Real Fechada'!B29/'[3]Simulação Dólar Fechada (US$)'!$A$1</f>
        <v>102941.17647058824</v>
      </c>
      <c r="C29" s="106">
        <f>'[3]Simulação Real Fechada'!C29/'[3]Simulação Dólar Fechada (US$)'!$A$1</f>
        <v>0</v>
      </c>
      <c r="D29" s="106">
        <f>'[3]Simulação Real Fechada'!D29/'[3]Simulação Dólar Fechada (US$)'!$A$1</f>
        <v>102941.17647058824</v>
      </c>
      <c r="F29" s="106">
        <f>'[3]Simulação Real Fechada'!N29/'[3]Simulação Dólar Fechada (US$)'!$A$1</f>
        <v>0</v>
      </c>
      <c r="G29" s="106">
        <f>'[3]Simulação Real Fechada'!O29/'[3]Simulação Dólar Fechada (US$)'!$A$1</f>
        <v>0</v>
      </c>
      <c r="H29" s="106">
        <f>'[3]Simulação Real Fechada'!X29/'[3]Simulação Dólar Fechada (US$)'!$A$1</f>
        <v>102941.17647058824</v>
      </c>
      <c r="I29" s="106">
        <f>'[3]Simulação Real Fechada'!Y29/'[3]Simulação Dólar Fechada (US$)'!$A$1</f>
        <v>0</v>
      </c>
      <c r="J29" s="106">
        <f>'[3]Simulação Real Fechada'!AH29/'[3]Simulação Dólar Fechada (US$)'!$A$1</f>
        <v>0</v>
      </c>
      <c r="K29" s="106">
        <f>'[3]Simulação Real Fechada'!AI29/'[3]Simulação Dólar Fechada (US$)'!$A$1</f>
        <v>0</v>
      </c>
      <c r="L29" s="106">
        <f>'[3]Simulação Real Fechada'!AR29/'[3]Simulação Dólar Fechada (US$)'!$A$1</f>
        <v>0</v>
      </c>
      <c r="M29" s="106">
        <f>'[3]Simulação Real Fechada'!AS29/'[3]Simulação Dólar Fechada (US$)'!$A$1</f>
        <v>0</v>
      </c>
      <c r="N29" s="106">
        <f>'[3]Simulação Real Fechada'!BB29/'[3]Simulação Dólar Fechada (US$)'!$A$1</f>
        <v>0</v>
      </c>
      <c r="O29" s="106">
        <f>'[3]Simulação Real Fechada'!BC29/'[3]Simulação Dólar Fechada (US$)'!$A$1</f>
        <v>0</v>
      </c>
      <c r="P29" s="106">
        <f>'[3]Simulação Real Fechada'!BD29/'[3]Simulação Dólar Fechada (US$)'!$A$1</f>
        <v>102941.17647058824</v>
      </c>
      <c r="Q29" s="106">
        <f>'[3]Simulação Real Fechada'!BE29/'[3]Simulação Dólar Fechada (US$)'!$A$1</f>
        <v>0</v>
      </c>
      <c r="R29" s="106">
        <f>'[3]Simulação Real Fechada'!BF29/'[3]Simulação Dólar Fechada (US$)'!$A$1</f>
        <v>102941.17647058824</v>
      </c>
    </row>
    <row r="30" spans="1:18" x14ac:dyDescent="0.25">
      <c r="A30" s="213" t="s">
        <v>149</v>
      </c>
      <c r="B30" s="106">
        <f>'[3]Simulação Real Fechada'!B30/'[3]Simulação Dólar Fechada (US$)'!$A$1</f>
        <v>0</v>
      </c>
      <c r="C30" s="106">
        <f>'[3]Simulação Real Fechada'!C30/'[3]Simulação Dólar Fechada (US$)'!$A$1</f>
        <v>0</v>
      </c>
      <c r="D30" s="106">
        <f>'[3]Simulação Real Fechada'!D30/'[3]Simulação Dólar Fechada (US$)'!$A$1</f>
        <v>0</v>
      </c>
      <c r="F30" s="106">
        <f>'[3]Simulação Real Fechada'!N30/'[3]Simulação Dólar Fechada (US$)'!$A$1</f>
        <v>0</v>
      </c>
      <c r="G30" s="106">
        <f>'[3]Simulação Real Fechada'!O30/'[3]Simulação Dólar Fechada (US$)'!$A$1</f>
        <v>0</v>
      </c>
      <c r="H30" s="106">
        <f>'[3]Simulação Real Fechada'!X30/'[3]Simulação Dólar Fechada (US$)'!$A$1</f>
        <v>0</v>
      </c>
      <c r="I30" s="106">
        <f>'[3]Simulação Real Fechada'!Y30/'[3]Simulação Dólar Fechada (US$)'!$A$1</f>
        <v>0</v>
      </c>
      <c r="J30" s="106">
        <f>'[3]Simulação Real Fechada'!AH30/'[3]Simulação Dólar Fechada (US$)'!$A$1</f>
        <v>0</v>
      </c>
      <c r="K30" s="106">
        <f>'[3]Simulação Real Fechada'!AI30/'[3]Simulação Dólar Fechada (US$)'!$A$1</f>
        <v>0</v>
      </c>
      <c r="L30" s="106">
        <f>'[3]Simulação Real Fechada'!AR30/'[3]Simulação Dólar Fechada (US$)'!$A$1</f>
        <v>0</v>
      </c>
      <c r="M30" s="106">
        <f>'[3]Simulação Real Fechada'!AS30/'[3]Simulação Dólar Fechada (US$)'!$A$1</f>
        <v>0</v>
      </c>
      <c r="N30" s="106">
        <f>'[3]Simulação Real Fechada'!BB30/'[3]Simulação Dólar Fechada (US$)'!$A$1</f>
        <v>0</v>
      </c>
      <c r="O30" s="106">
        <f>'[3]Simulação Real Fechada'!BC30/'[3]Simulação Dólar Fechada (US$)'!$A$1</f>
        <v>0</v>
      </c>
      <c r="P30" s="106">
        <f>'[3]Simulação Real Fechada'!BD30/'[3]Simulação Dólar Fechada (US$)'!$A$1</f>
        <v>0</v>
      </c>
      <c r="Q30" s="106">
        <f>'[3]Simulação Real Fechada'!BE30/'[3]Simulação Dólar Fechada (US$)'!$A$1</f>
        <v>0</v>
      </c>
      <c r="R30" s="106">
        <f>'[3]Simulação Real Fechada'!BF30/'[3]Simulação Dólar Fechada (US$)'!$A$1</f>
        <v>0</v>
      </c>
    </row>
    <row r="31" spans="1:18" ht="24" x14ac:dyDescent="0.25">
      <c r="A31" s="163" t="s">
        <v>150</v>
      </c>
      <c r="B31" s="106">
        <f>'[3]Simulação Real Fechada'!B31/'[3]Simulação Dólar Fechada (US$)'!$A$1</f>
        <v>397058.82352941175</v>
      </c>
      <c r="C31" s="106">
        <f>'[3]Simulação Real Fechada'!C31/'[3]Simulação Dólar Fechada (US$)'!$A$1</f>
        <v>0</v>
      </c>
      <c r="D31" s="106">
        <f>'[3]Simulação Real Fechada'!D31/'[3]Simulação Dólar Fechada (US$)'!$A$1</f>
        <v>397058.82352941175</v>
      </c>
      <c r="F31" s="106">
        <f>'[3]Simulação Real Fechada'!N31/'[3]Simulação Dólar Fechada (US$)'!$A$1</f>
        <v>0</v>
      </c>
      <c r="G31" s="106">
        <f>'[3]Simulação Real Fechada'!O31/'[3]Simulação Dólar Fechada (US$)'!$A$1</f>
        <v>0</v>
      </c>
      <c r="H31" s="106">
        <f>'[3]Simulação Real Fechada'!X31/'[3]Simulação Dólar Fechada (US$)'!$A$1</f>
        <v>200294.11764705883</v>
      </c>
      <c r="I31" s="106">
        <f>'[3]Simulação Real Fechada'!Y31/'[3]Simulação Dólar Fechada (US$)'!$A$1</f>
        <v>0</v>
      </c>
      <c r="J31" s="106">
        <f>'[3]Simulação Real Fechada'!AH31/'[3]Simulação Dólar Fechada (US$)'!$A$1</f>
        <v>196764.70588235295</v>
      </c>
      <c r="K31" s="106">
        <f>'[3]Simulação Real Fechada'!AI31/'[3]Simulação Dólar Fechada (US$)'!$A$1</f>
        <v>0</v>
      </c>
      <c r="L31" s="106">
        <f>'[3]Simulação Real Fechada'!AR31/'[3]Simulação Dólar Fechada (US$)'!$A$1</f>
        <v>0</v>
      </c>
      <c r="M31" s="106">
        <f>'[3]Simulação Real Fechada'!AS31/'[3]Simulação Dólar Fechada (US$)'!$A$1</f>
        <v>0</v>
      </c>
      <c r="N31" s="106">
        <f>'[3]Simulação Real Fechada'!BB31/'[3]Simulação Dólar Fechada (US$)'!$A$1</f>
        <v>0</v>
      </c>
      <c r="O31" s="106">
        <f>'[3]Simulação Real Fechada'!BC31/'[3]Simulação Dólar Fechada (US$)'!$A$1</f>
        <v>0</v>
      </c>
      <c r="P31" s="106">
        <f>'[3]Simulação Real Fechada'!BD31/'[3]Simulação Dólar Fechada (US$)'!$A$1</f>
        <v>397058.82352941175</v>
      </c>
      <c r="Q31" s="106">
        <f>'[3]Simulação Real Fechada'!BE31/'[3]Simulação Dólar Fechada (US$)'!$A$1</f>
        <v>0</v>
      </c>
      <c r="R31" s="106">
        <f>'[3]Simulação Real Fechada'!BF31/'[3]Simulação Dólar Fechada (US$)'!$A$1</f>
        <v>397058.82352941175</v>
      </c>
    </row>
    <row r="32" spans="1:18" ht="24" x14ac:dyDescent="0.25">
      <c r="A32" s="162" t="s">
        <v>151</v>
      </c>
      <c r="B32" s="106">
        <f>'[3]Simulação Real Fechada'!B32/'[3]Simulação Dólar Fechada (US$)'!$A$1</f>
        <v>655882.3529411765</v>
      </c>
      <c r="C32" s="106">
        <f>'[3]Simulação Real Fechada'!C32/'[3]Simulação Dólar Fechada (US$)'!$A$1</f>
        <v>0</v>
      </c>
      <c r="D32" s="106">
        <f>'[3]Simulação Real Fechada'!D32/'[3]Simulação Dólar Fechada (US$)'!$A$1</f>
        <v>655882.3529411765</v>
      </c>
      <c r="F32" s="106">
        <f>'[3]Simulação Real Fechada'!N32/'[3]Simulação Dólar Fechada (US$)'!$A$1</f>
        <v>0</v>
      </c>
      <c r="G32" s="106">
        <f>'[3]Simulação Real Fechada'!O32/'[3]Simulação Dólar Fechada (US$)'!$A$1</f>
        <v>0</v>
      </c>
      <c r="H32" s="106">
        <f>'[3]Simulação Real Fechada'!X32/'[3]Simulação Dólar Fechada (US$)'!$A$1</f>
        <v>459117.64705882355</v>
      </c>
      <c r="I32" s="106">
        <f>'[3]Simulação Real Fechada'!Y32/'[3]Simulação Dólar Fechada (US$)'!$A$1</f>
        <v>0</v>
      </c>
      <c r="J32" s="106">
        <f>'[3]Simulação Real Fechada'!AH32/'[3]Simulação Dólar Fechada (US$)'!$A$1</f>
        <v>196764.70588235295</v>
      </c>
      <c r="K32" s="106">
        <f>'[3]Simulação Real Fechada'!AI32/'[3]Simulação Dólar Fechada (US$)'!$A$1</f>
        <v>0</v>
      </c>
      <c r="L32" s="106">
        <f>'[3]Simulação Real Fechada'!AR32/'[3]Simulação Dólar Fechada (US$)'!$A$1</f>
        <v>0</v>
      </c>
      <c r="M32" s="106">
        <f>'[3]Simulação Real Fechada'!AS32/'[3]Simulação Dólar Fechada (US$)'!$A$1</f>
        <v>0</v>
      </c>
      <c r="N32" s="106">
        <f>'[3]Simulação Real Fechada'!BB32/'[3]Simulação Dólar Fechada (US$)'!$A$1</f>
        <v>0</v>
      </c>
      <c r="O32" s="106">
        <f>'[3]Simulação Real Fechada'!BC32/'[3]Simulação Dólar Fechada (US$)'!$A$1</f>
        <v>0</v>
      </c>
      <c r="P32" s="106">
        <f>'[3]Simulação Real Fechada'!BD32/'[3]Simulação Dólar Fechada (US$)'!$A$1</f>
        <v>655882.3529411765</v>
      </c>
      <c r="Q32" s="106">
        <f>'[3]Simulação Real Fechada'!BE32/'[3]Simulação Dólar Fechada (US$)'!$A$1</f>
        <v>0</v>
      </c>
      <c r="R32" s="106">
        <f>'[3]Simulação Real Fechada'!BF32/'[3]Simulação Dólar Fechada (US$)'!$A$1</f>
        <v>655882.3529411765</v>
      </c>
    </row>
    <row r="33" spans="1:18" x14ac:dyDescent="0.25">
      <c r="A33" s="100" t="s">
        <v>152</v>
      </c>
      <c r="B33" s="101">
        <f>'[3]Simulação Real Fechada'!B33/'[3]Simulação Dólar Fechada (US$)'!$A$1</f>
        <v>37805021.455882356</v>
      </c>
      <c r="C33" s="101">
        <f>'[3]Simulação Real Fechada'!C33/'[3]Simulação Dólar Fechada (US$)'!$A$1</f>
        <v>0</v>
      </c>
      <c r="D33" s="101">
        <f>'[3]Simulação Real Fechada'!D33/'[3]Simulação Dólar Fechada (US$)'!$A$1</f>
        <v>37805021.455882356</v>
      </c>
      <c r="F33" s="101">
        <f>'[3]Simulação Real Fechada'!N33/'[3]Simulação Dólar Fechada (US$)'!$A$1</f>
        <v>7369801.4705882352</v>
      </c>
      <c r="G33" s="101">
        <f>'[3]Simulação Real Fechada'!O33/'[3]Simulação Dólar Fechada (US$)'!$A$1</f>
        <v>0</v>
      </c>
      <c r="H33" s="101">
        <f>'[3]Simulação Real Fechada'!X33/'[3]Simulação Dólar Fechada (US$)'!$A$1</f>
        <v>21063936.470588237</v>
      </c>
      <c r="I33" s="101">
        <f>'[3]Simulação Real Fechada'!Y33/'[3]Simulação Dólar Fechada (US$)'!$A$1</f>
        <v>0</v>
      </c>
      <c r="J33" s="101">
        <f>'[3]Simulação Real Fechada'!AH33/'[3]Simulação Dólar Fechada (US$)'!$A$1</f>
        <v>9371283.5147058815</v>
      </c>
      <c r="K33" s="101">
        <f>'[3]Simulação Real Fechada'!AI33/'[3]Simulação Dólar Fechada (US$)'!$A$1</f>
        <v>0</v>
      </c>
      <c r="L33" s="101">
        <f>'[3]Simulação Real Fechada'!AR33/'[3]Simulação Dólar Fechada (US$)'!$A$1</f>
        <v>0</v>
      </c>
      <c r="M33" s="101">
        <f>'[3]Simulação Real Fechada'!AS33/'[3]Simulação Dólar Fechada (US$)'!$A$1</f>
        <v>0</v>
      </c>
      <c r="N33" s="101">
        <f>'[3]Simulação Real Fechada'!BB33/'[3]Simulação Dólar Fechada (US$)'!$A$1</f>
        <v>0</v>
      </c>
      <c r="O33" s="101">
        <f>'[3]Simulação Real Fechada'!BC33/'[3]Simulação Dólar Fechada (US$)'!$A$1</f>
        <v>0</v>
      </c>
      <c r="P33" s="101">
        <f>'[3]Simulação Real Fechada'!BD33/'[3]Simulação Dólar Fechada (US$)'!$A$1</f>
        <v>37805021.455882356</v>
      </c>
      <c r="Q33" s="101">
        <f>'[3]Simulação Real Fechada'!BE33/'[3]Simulação Dólar Fechada (US$)'!$A$1</f>
        <v>0</v>
      </c>
      <c r="R33" s="101">
        <f>'[3]Simulação Real Fechada'!BF33/'[3]Simulação Dólar Fechada (US$)'!$A$1</f>
        <v>37805021.455882356</v>
      </c>
    </row>
    <row r="34" spans="1:18" x14ac:dyDescent="0.25">
      <c r="A34" s="165" t="s">
        <v>153</v>
      </c>
      <c r="B34" s="103">
        <f>'[3]Simulação Real Fechada'!B34/'[3]Simulação Dólar Fechada (US$)'!$A$1</f>
        <v>37805021.455882356</v>
      </c>
      <c r="C34" s="103">
        <f>'[3]Simulação Real Fechada'!C34/'[3]Simulação Dólar Fechada (US$)'!$A$1</f>
        <v>0</v>
      </c>
      <c r="D34" s="103">
        <f>'[3]Simulação Real Fechada'!D34/'[3]Simulação Dólar Fechada (US$)'!$A$1</f>
        <v>37805021.455882356</v>
      </c>
      <c r="F34" s="103">
        <f>'[3]Simulação Real Fechada'!N34/'[3]Simulação Dólar Fechada (US$)'!$A$1</f>
        <v>7369801.4705882352</v>
      </c>
      <c r="G34" s="103">
        <f>'[3]Simulação Real Fechada'!O34/'[3]Simulação Dólar Fechada (US$)'!$A$1</f>
        <v>0</v>
      </c>
      <c r="H34" s="103">
        <f>'[3]Simulação Real Fechada'!X34/'[3]Simulação Dólar Fechada (US$)'!$A$1</f>
        <v>21063936.470588237</v>
      </c>
      <c r="I34" s="103">
        <f>'[3]Simulação Real Fechada'!Y34/'[3]Simulação Dólar Fechada (US$)'!$A$1</f>
        <v>0</v>
      </c>
      <c r="J34" s="103">
        <f>'[3]Simulação Real Fechada'!AH34/'[3]Simulação Dólar Fechada (US$)'!$A$1</f>
        <v>9371283.5147058815</v>
      </c>
      <c r="K34" s="103">
        <f>'[3]Simulação Real Fechada'!AI34/'[3]Simulação Dólar Fechada (US$)'!$A$1</f>
        <v>0</v>
      </c>
      <c r="L34" s="103">
        <f>'[3]Simulação Real Fechada'!AR34/'[3]Simulação Dólar Fechada (US$)'!$A$1</f>
        <v>0</v>
      </c>
      <c r="M34" s="103">
        <f>'[3]Simulação Real Fechada'!AS34/'[3]Simulação Dólar Fechada (US$)'!$A$1</f>
        <v>0</v>
      </c>
      <c r="N34" s="103">
        <f>'[3]Simulação Real Fechada'!BB34/'[3]Simulação Dólar Fechada (US$)'!$A$1</f>
        <v>0</v>
      </c>
      <c r="O34" s="103">
        <f>'[3]Simulação Real Fechada'!BC34/'[3]Simulação Dólar Fechada (US$)'!$A$1</f>
        <v>0</v>
      </c>
      <c r="P34" s="103">
        <f>'[3]Simulação Real Fechada'!BD34/'[3]Simulação Dólar Fechada (US$)'!$A$1</f>
        <v>37805021.455882356</v>
      </c>
      <c r="Q34" s="103">
        <f>'[3]Simulação Real Fechada'!BE34/'[3]Simulação Dólar Fechada (US$)'!$A$1</f>
        <v>0</v>
      </c>
      <c r="R34" s="103">
        <f>'[3]Simulação Real Fechada'!BF34/'[3]Simulação Dólar Fechada (US$)'!$A$1</f>
        <v>37805021.455882356</v>
      </c>
    </row>
    <row r="35" spans="1:18" x14ac:dyDescent="0.25">
      <c r="A35" s="162" t="s">
        <v>154</v>
      </c>
      <c r="B35" s="106">
        <f>'[3]Simulação Real Fechada'!B35/'[3]Simulação Dólar Fechada (US$)'!$A$1</f>
        <v>37805021.455882356</v>
      </c>
      <c r="C35" s="106">
        <f>'[3]Simulação Real Fechada'!C35/'[3]Simulação Dólar Fechada (US$)'!$A$1</f>
        <v>0</v>
      </c>
      <c r="D35" s="106">
        <f>'[3]Simulação Real Fechada'!D35/'[3]Simulação Dólar Fechada (US$)'!$A$1</f>
        <v>37805021.455882356</v>
      </c>
      <c r="F35" s="106">
        <f>'[3]Simulação Real Fechada'!N35/'[3]Simulação Dólar Fechada (US$)'!$A$1</f>
        <v>7369801.4705882352</v>
      </c>
      <c r="G35" s="106">
        <f>'[3]Simulação Real Fechada'!O35/'[3]Simulação Dólar Fechada (US$)'!$A$1</f>
        <v>0</v>
      </c>
      <c r="H35" s="106">
        <f>'[3]Simulação Real Fechada'!X35/'[3]Simulação Dólar Fechada (US$)'!$A$1</f>
        <v>21063936.470588237</v>
      </c>
      <c r="I35" s="106">
        <f>'[3]Simulação Real Fechada'!Y35/'[3]Simulação Dólar Fechada (US$)'!$A$1</f>
        <v>0</v>
      </c>
      <c r="J35" s="106">
        <f>'[3]Simulação Real Fechada'!AH35/'[3]Simulação Dólar Fechada (US$)'!$A$1</f>
        <v>9371283.5147058815</v>
      </c>
      <c r="K35" s="106">
        <f>'[3]Simulação Real Fechada'!AI35/'[3]Simulação Dólar Fechada (US$)'!$A$1</f>
        <v>0</v>
      </c>
      <c r="L35" s="106">
        <f>'[3]Simulação Real Fechada'!AR35/'[3]Simulação Dólar Fechada (US$)'!$A$1</f>
        <v>0</v>
      </c>
      <c r="M35" s="106">
        <f>'[3]Simulação Real Fechada'!AS35/'[3]Simulação Dólar Fechada (US$)'!$A$1</f>
        <v>0</v>
      </c>
      <c r="N35" s="106">
        <f>'[3]Simulação Real Fechada'!BB35/'[3]Simulação Dólar Fechada (US$)'!$A$1</f>
        <v>0</v>
      </c>
      <c r="O35" s="106">
        <f>'[3]Simulação Real Fechada'!BC35/'[3]Simulação Dólar Fechada (US$)'!$A$1</f>
        <v>0</v>
      </c>
      <c r="P35" s="106">
        <f>'[3]Simulação Real Fechada'!BD35/'[3]Simulação Dólar Fechada (US$)'!$A$1</f>
        <v>37805021.455882356</v>
      </c>
      <c r="Q35" s="106">
        <f>'[3]Simulação Real Fechada'!BE35/'[3]Simulação Dólar Fechada (US$)'!$A$1</f>
        <v>0</v>
      </c>
      <c r="R35" s="106">
        <f>'[3]Simulação Real Fechada'!BF35/'[3]Simulação Dólar Fechada (US$)'!$A$1</f>
        <v>37805021.455882356</v>
      </c>
    </row>
    <row r="36" spans="1:18" x14ac:dyDescent="0.25">
      <c r="A36" s="110" t="s">
        <v>155</v>
      </c>
      <c r="B36" s="106">
        <f>'[3]Simulação Real Fechada'!B36/'[3]Simulação Dólar Fechada (US$)'!$A$1</f>
        <v>21674620.026470594</v>
      </c>
      <c r="C36" s="106">
        <f>'[3]Simulação Real Fechada'!C36/'[3]Simulação Dólar Fechada (US$)'!$A$1</f>
        <v>0</v>
      </c>
      <c r="D36" s="106">
        <f>'[3]Simulação Real Fechada'!D36/'[3]Simulação Dólar Fechada (US$)'!$A$1</f>
        <v>21674620.026470594</v>
      </c>
      <c r="F36" s="106">
        <f>'[3]Simulação Real Fechada'!N36/'[3]Simulação Dólar Fechada (US$)'!$A$1</f>
        <v>4328792.0588235296</v>
      </c>
      <c r="G36" s="106">
        <f>'[3]Simulação Real Fechada'!O36/'[3]Simulação Dólar Fechada (US$)'!$A$1</f>
        <v>0</v>
      </c>
      <c r="H36" s="106">
        <f>'[3]Simulação Real Fechada'!X36/'[3]Simulação Dólar Fechada (US$)'!$A$1</f>
        <v>11667172.94117647</v>
      </c>
      <c r="I36" s="106">
        <f>'[3]Simulação Real Fechada'!Y36/'[3]Simulação Dólar Fechada (US$)'!$A$1</f>
        <v>0</v>
      </c>
      <c r="J36" s="106">
        <f>'[3]Simulação Real Fechada'!AH36/'[3]Simulação Dólar Fechada (US$)'!$A$1</f>
        <v>5678655.0264705885</v>
      </c>
      <c r="K36" s="106">
        <f>'[3]Simulação Real Fechada'!AI36/'[3]Simulação Dólar Fechada (US$)'!$A$1</f>
        <v>0</v>
      </c>
      <c r="L36" s="106">
        <f>'[3]Simulação Real Fechada'!AR36/'[3]Simulação Dólar Fechada (US$)'!$A$1</f>
        <v>0</v>
      </c>
      <c r="M36" s="106">
        <f>'[3]Simulação Real Fechada'!AS36/'[3]Simulação Dólar Fechada (US$)'!$A$1</f>
        <v>0</v>
      </c>
      <c r="N36" s="106">
        <f>'[3]Simulação Real Fechada'!BB36/'[3]Simulação Dólar Fechada (US$)'!$A$1</f>
        <v>0</v>
      </c>
      <c r="O36" s="106">
        <f>'[3]Simulação Real Fechada'!BC36/'[3]Simulação Dólar Fechada (US$)'!$A$1</f>
        <v>0</v>
      </c>
      <c r="P36" s="106">
        <f>'[3]Simulação Real Fechada'!BD36/'[3]Simulação Dólar Fechada (US$)'!$A$1</f>
        <v>21674620.02647059</v>
      </c>
      <c r="Q36" s="106">
        <f>'[3]Simulação Real Fechada'!BE36/'[3]Simulação Dólar Fechada (US$)'!$A$1</f>
        <v>0</v>
      </c>
      <c r="R36" s="106">
        <f>'[3]Simulação Real Fechada'!BF36/'[3]Simulação Dólar Fechada (US$)'!$A$1</f>
        <v>21674620.02647059</v>
      </c>
    </row>
    <row r="37" spans="1:18" x14ac:dyDescent="0.25">
      <c r="A37" s="110" t="s">
        <v>156</v>
      </c>
      <c r="B37" s="106">
        <f>'[3]Simulação Real Fechada'!B37/'[3]Simulação Dólar Fechada (US$)'!$A$1</f>
        <v>14911641.511764707</v>
      </c>
      <c r="C37" s="106">
        <f>'[3]Simulação Real Fechada'!C37/'[3]Simulação Dólar Fechada (US$)'!$A$1</f>
        <v>0</v>
      </c>
      <c r="D37" s="106">
        <f>'[3]Simulação Real Fechada'!D37/'[3]Simulação Dólar Fechada (US$)'!$A$1</f>
        <v>14911641.511764707</v>
      </c>
      <c r="F37" s="106">
        <f>'[3]Simulação Real Fechada'!N37/'[3]Simulação Dólar Fechada (US$)'!$A$1</f>
        <v>3041009.411764706</v>
      </c>
      <c r="G37" s="106">
        <f>'[3]Simulação Real Fechada'!O37/'[3]Simulação Dólar Fechada (US$)'!$A$1</f>
        <v>0</v>
      </c>
      <c r="H37" s="106">
        <f>'[3]Simulação Real Fechada'!X37/'[3]Simulação Dólar Fechada (US$)'!$A$1</f>
        <v>9249704.7058823537</v>
      </c>
      <c r="I37" s="106">
        <f>'[3]Simulação Real Fechada'!Y37/'[3]Simulação Dólar Fechada (US$)'!$A$1</f>
        <v>0</v>
      </c>
      <c r="J37" s="106">
        <f>'[3]Simulação Real Fechada'!AH37/'[3]Simulação Dólar Fechada (US$)'!$A$1</f>
        <v>2620927.3941176473</v>
      </c>
      <c r="K37" s="106">
        <f>'[3]Simulação Real Fechada'!AI37/'[3]Simulação Dólar Fechada (US$)'!$A$1</f>
        <v>0</v>
      </c>
      <c r="L37" s="106">
        <f>'[3]Simulação Real Fechada'!AR37/'[3]Simulação Dólar Fechada (US$)'!$A$1</f>
        <v>0</v>
      </c>
      <c r="M37" s="106">
        <f>'[3]Simulação Real Fechada'!AS37/'[3]Simulação Dólar Fechada (US$)'!$A$1</f>
        <v>0</v>
      </c>
      <c r="N37" s="106">
        <f>'[3]Simulação Real Fechada'!BB37/'[3]Simulação Dólar Fechada (US$)'!$A$1</f>
        <v>0</v>
      </c>
      <c r="O37" s="106">
        <f>'[3]Simulação Real Fechada'!BC37/'[3]Simulação Dólar Fechada (US$)'!$A$1</f>
        <v>0</v>
      </c>
      <c r="P37" s="106">
        <f>'[3]Simulação Real Fechada'!BD37/'[3]Simulação Dólar Fechada (US$)'!$A$1</f>
        <v>14911641.511764707</v>
      </c>
      <c r="Q37" s="106">
        <f>'[3]Simulação Real Fechada'!BE37/'[3]Simulação Dólar Fechada (US$)'!$A$1</f>
        <v>0</v>
      </c>
      <c r="R37" s="106">
        <f>'[3]Simulação Real Fechada'!BF37/'[3]Simulação Dólar Fechada (US$)'!$A$1</f>
        <v>14911641.511764707</v>
      </c>
    </row>
    <row r="38" spans="1:18" x14ac:dyDescent="0.25">
      <c r="A38" s="213" t="s">
        <v>157</v>
      </c>
      <c r="B38" s="106">
        <f>'[3]Simulação Real Fechada'!B38/'[3]Simulação Dólar Fechada (US$)'!$A$1</f>
        <v>0</v>
      </c>
      <c r="C38" s="106">
        <f>'[3]Simulação Real Fechada'!C38/'[3]Simulação Dólar Fechada (US$)'!$A$1</f>
        <v>0</v>
      </c>
      <c r="D38" s="106">
        <f>'[3]Simulação Real Fechada'!D38/'[3]Simulação Dólar Fechada (US$)'!$A$1</f>
        <v>0</v>
      </c>
      <c r="F38" s="106">
        <f>'[3]Simulação Real Fechada'!N38/'[3]Simulação Dólar Fechada (US$)'!$A$1</f>
        <v>0</v>
      </c>
      <c r="G38" s="106">
        <f>'[3]Simulação Real Fechada'!O38/'[3]Simulação Dólar Fechada (US$)'!$A$1</f>
        <v>0</v>
      </c>
      <c r="H38" s="106">
        <f>'[3]Simulação Real Fechada'!X38/'[3]Simulação Dólar Fechada (US$)'!$A$1</f>
        <v>0</v>
      </c>
      <c r="I38" s="106">
        <f>'[3]Simulação Real Fechada'!Y38/'[3]Simulação Dólar Fechada (US$)'!$A$1</f>
        <v>0</v>
      </c>
      <c r="J38" s="106">
        <f>'[3]Simulação Real Fechada'!AH38/'[3]Simulação Dólar Fechada (US$)'!$A$1</f>
        <v>0</v>
      </c>
      <c r="K38" s="106">
        <f>'[3]Simulação Real Fechada'!AI38/'[3]Simulação Dólar Fechada (US$)'!$A$1</f>
        <v>0</v>
      </c>
      <c r="L38" s="106">
        <f>'[3]Simulação Real Fechada'!AR38/'[3]Simulação Dólar Fechada (US$)'!$A$1</f>
        <v>0</v>
      </c>
      <c r="M38" s="106">
        <f>'[3]Simulação Real Fechada'!AS38/'[3]Simulação Dólar Fechada (US$)'!$A$1</f>
        <v>0</v>
      </c>
      <c r="N38" s="106">
        <f>'[3]Simulação Real Fechada'!BB38/'[3]Simulação Dólar Fechada (US$)'!$A$1</f>
        <v>0</v>
      </c>
      <c r="O38" s="106">
        <f>'[3]Simulação Real Fechada'!BC38/'[3]Simulação Dólar Fechada (US$)'!$A$1</f>
        <v>0</v>
      </c>
      <c r="P38" s="106">
        <f>'[3]Simulação Real Fechada'!BD38/'[3]Simulação Dólar Fechada (US$)'!$A$1</f>
        <v>0</v>
      </c>
      <c r="Q38" s="106">
        <f>'[3]Simulação Real Fechada'!BE38/'[3]Simulação Dólar Fechada (US$)'!$A$1</f>
        <v>0</v>
      </c>
      <c r="R38" s="106">
        <f>'[3]Simulação Real Fechada'!BF38/'[3]Simulação Dólar Fechada (US$)'!$A$1</f>
        <v>0</v>
      </c>
    </row>
    <row r="39" spans="1:18" x14ac:dyDescent="0.25">
      <c r="A39" s="110" t="s">
        <v>158</v>
      </c>
      <c r="B39" s="106">
        <f>'[3]Simulação Real Fechada'!B39/'[3]Simulação Dólar Fechada (US$)'!$A$1</f>
        <v>463405.1029411765</v>
      </c>
      <c r="C39" s="106">
        <f>'[3]Simulação Real Fechada'!C39/'[3]Simulação Dólar Fechada (US$)'!$A$1</f>
        <v>0</v>
      </c>
      <c r="D39" s="106">
        <f>'[3]Simulação Real Fechada'!D39/'[3]Simulação Dólar Fechada (US$)'!$A$1</f>
        <v>463405.1029411765</v>
      </c>
      <c r="F39" s="106">
        <f>'[3]Simulação Real Fechada'!N39/'[3]Simulação Dólar Fechada (US$)'!$A$1</f>
        <v>0</v>
      </c>
      <c r="G39" s="106">
        <f>'[3]Simulação Real Fechada'!O39/'[3]Simulação Dólar Fechada (US$)'!$A$1</f>
        <v>0</v>
      </c>
      <c r="H39" s="106">
        <f>'[3]Simulação Real Fechada'!X39/'[3]Simulação Dólar Fechada (US$)'!$A$1</f>
        <v>147058.82352941178</v>
      </c>
      <c r="I39" s="106">
        <f>'[3]Simulação Real Fechada'!Y39/'[3]Simulação Dólar Fechada (US$)'!$A$1</f>
        <v>0</v>
      </c>
      <c r="J39" s="106">
        <f>'[3]Simulação Real Fechada'!AH39/'[3]Simulação Dólar Fechada (US$)'!$A$1</f>
        <v>316346.27941176476</v>
      </c>
      <c r="K39" s="106">
        <f>'[3]Simulação Real Fechada'!AI39/'[3]Simulação Dólar Fechada (US$)'!$A$1</f>
        <v>0</v>
      </c>
      <c r="L39" s="106">
        <f>'[3]Simulação Real Fechada'!AR39/'[3]Simulação Dólar Fechada (US$)'!$A$1</f>
        <v>0</v>
      </c>
      <c r="M39" s="106">
        <f>'[3]Simulação Real Fechada'!AS39/'[3]Simulação Dólar Fechada (US$)'!$A$1</f>
        <v>0</v>
      </c>
      <c r="N39" s="106">
        <f>'[3]Simulação Real Fechada'!BB39/'[3]Simulação Dólar Fechada (US$)'!$A$1</f>
        <v>0</v>
      </c>
      <c r="O39" s="106">
        <f>'[3]Simulação Real Fechada'!BC39/'[3]Simulação Dólar Fechada (US$)'!$A$1</f>
        <v>0</v>
      </c>
      <c r="P39" s="106">
        <f>'[3]Simulação Real Fechada'!BD39/'[3]Simulação Dólar Fechada (US$)'!$A$1</f>
        <v>463405.1029411765</v>
      </c>
      <c r="Q39" s="106">
        <f>'[3]Simulação Real Fechada'!BE39/'[3]Simulação Dólar Fechada (US$)'!$A$1</f>
        <v>0</v>
      </c>
      <c r="R39" s="106">
        <f>'[3]Simulação Real Fechada'!BF39/'[3]Simulação Dólar Fechada (US$)'!$A$1</f>
        <v>463405.1029411765</v>
      </c>
    </row>
    <row r="40" spans="1:18" x14ac:dyDescent="0.25">
      <c r="A40" s="110" t="s">
        <v>159</v>
      </c>
      <c r="B40" s="106">
        <f>'[3]Simulação Real Fechada'!B40/'[3]Simulação Dólar Fechada (US$)'!$A$1</f>
        <v>380686.10000000003</v>
      </c>
      <c r="C40" s="106">
        <f>'[3]Simulação Real Fechada'!C40/'[3]Simulação Dólar Fechada (US$)'!$A$1</f>
        <v>0</v>
      </c>
      <c r="D40" s="106">
        <f>'[3]Simulação Real Fechada'!D40/'[3]Simulação Dólar Fechada (US$)'!$A$1</f>
        <v>380686.10000000003</v>
      </c>
      <c r="F40" s="106">
        <f>'[3]Simulação Real Fechada'!N40/'[3]Simulação Dólar Fechada (US$)'!$A$1</f>
        <v>0</v>
      </c>
      <c r="G40" s="106">
        <f>'[3]Simulação Real Fechada'!O40/'[3]Simulação Dólar Fechada (US$)'!$A$1</f>
        <v>0</v>
      </c>
      <c r="H40" s="106">
        <f>'[3]Simulação Real Fechada'!X40/'[3]Simulação Dólar Fechada (US$)'!$A$1</f>
        <v>0</v>
      </c>
      <c r="I40" s="106">
        <f>'[3]Simulação Real Fechada'!Y40/'[3]Simulação Dólar Fechada (US$)'!$A$1</f>
        <v>0</v>
      </c>
      <c r="J40" s="106">
        <f>'[3]Simulação Real Fechada'!AH40/'[3]Simulação Dólar Fechada (US$)'!$A$1</f>
        <v>380686.10000000003</v>
      </c>
      <c r="K40" s="106">
        <f>'[3]Simulação Real Fechada'!AI40/'[3]Simulação Dólar Fechada (US$)'!$A$1</f>
        <v>0</v>
      </c>
      <c r="L40" s="106">
        <f>'[3]Simulação Real Fechada'!AR40/'[3]Simulação Dólar Fechada (US$)'!$A$1</f>
        <v>0</v>
      </c>
      <c r="M40" s="106">
        <f>'[3]Simulação Real Fechada'!AS40/'[3]Simulação Dólar Fechada (US$)'!$A$1</f>
        <v>0</v>
      </c>
      <c r="N40" s="106">
        <f>'[3]Simulação Real Fechada'!BB40/'[3]Simulação Dólar Fechada (US$)'!$A$1</f>
        <v>0</v>
      </c>
      <c r="O40" s="106">
        <f>'[3]Simulação Real Fechada'!BC40/'[3]Simulação Dólar Fechada (US$)'!$A$1</f>
        <v>0</v>
      </c>
      <c r="P40" s="106">
        <f>'[3]Simulação Real Fechada'!BD40/'[3]Simulação Dólar Fechada (US$)'!$A$1</f>
        <v>380686.10000000003</v>
      </c>
      <c r="Q40" s="106">
        <f>'[3]Simulação Real Fechada'!BE40/'[3]Simulação Dólar Fechada (US$)'!$A$1</f>
        <v>0</v>
      </c>
      <c r="R40" s="106">
        <f>'[3]Simulação Real Fechada'!BF40/'[3]Simulação Dólar Fechada (US$)'!$A$1</f>
        <v>380686.10000000003</v>
      </c>
    </row>
    <row r="41" spans="1:18" x14ac:dyDescent="0.25">
      <c r="A41" s="110" t="s">
        <v>160</v>
      </c>
      <c r="B41" s="106">
        <f>'[3]Simulação Real Fechada'!B41/'[3]Simulação Dólar Fechada (US$)'!$A$1</f>
        <v>374668.7147058823</v>
      </c>
      <c r="C41" s="106">
        <f>'[3]Simulação Real Fechada'!C41/'[3]Simulação Dólar Fechada (US$)'!$A$1</f>
        <v>0</v>
      </c>
      <c r="D41" s="106">
        <f>'[3]Simulação Real Fechada'!D41/'[3]Simulação Dólar Fechada (US$)'!$A$1</f>
        <v>374668.7147058823</v>
      </c>
      <c r="F41" s="106">
        <f>'[3]Simulação Real Fechada'!N41/'[3]Simulação Dólar Fechada (US$)'!$A$1</f>
        <v>0</v>
      </c>
      <c r="G41" s="106">
        <f>'[3]Simulação Real Fechada'!O41/'[3]Simulação Dólar Fechada (US$)'!$A$1</f>
        <v>0</v>
      </c>
      <c r="H41" s="106">
        <f>'[3]Simulação Real Fechada'!X41/'[3]Simulação Dólar Fechada (US$)'!$A$1</f>
        <v>0</v>
      </c>
      <c r="I41" s="106">
        <f>'[3]Simulação Real Fechada'!Y41/'[3]Simulação Dólar Fechada (US$)'!$A$1</f>
        <v>0</v>
      </c>
      <c r="J41" s="106">
        <f>'[3]Simulação Real Fechada'!AH41/'[3]Simulação Dólar Fechada (US$)'!$A$1</f>
        <v>374668.7147058823</v>
      </c>
      <c r="K41" s="106">
        <f>'[3]Simulação Real Fechada'!AI41/'[3]Simulação Dólar Fechada (US$)'!$A$1</f>
        <v>0</v>
      </c>
      <c r="L41" s="106">
        <f>'[3]Simulação Real Fechada'!AR41/'[3]Simulação Dólar Fechada (US$)'!$A$1</f>
        <v>0</v>
      </c>
      <c r="M41" s="106">
        <f>'[3]Simulação Real Fechada'!AS41/'[3]Simulação Dólar Fechada (US$)'!$A$1</f>
        <v>0</v>
      </c>
      <c r="N41" s="106">
        <f>'[3]Simulação Real Fechada'!BB41/'[3]Simulação Dólar Fechada (US$)'!$A$1</f>
        <v>0</v>
      </c>
      <c r="O41" s="106">
        <f>'[3]Simulação Real Fechada'!BC41/'[3]Simulação Dólar Fechada (US$)'!$A$1</f>
        <v>0</v>
      </c>
      <c r="P41" s="106">
        <f>'[3]Simulação Real Fechada'!BD41/'[3]Simulação Dólar Fechada (US$)'!$A$1</f>
        <v>374668.7147058823</v>
      </c>
      <c r="Q41" s="106">
        <f>'[3]Simulação Real Fechada'!BE41/'[3]Simulação Dólar Fechada (US$)'!$A$1</f>
        <v>0</v>
      </c>
      <c r="R41" s="106">
        <f>'[3]Simulação Real Fechada'!BF41/'[3]Simulação Dólar Fechada (US$)'!$A$1</f>
        <v>374668.7147058823</v>
      </c>
    </row>
    <row r="42" spans="1:18" x14ac:dyDescent="0.25">
      <c r="A42" s="162" t="s">
        <v>161</v>
      </c>
      <c r="B42" s="106">
        <f>'[3]Simulação Real Fechada'!B42/'[3]Simulação Dólar Fechada (US$)'!$A$1</f>
        <v>0</v>
      </c>
      <c r="C42" s="106">
        <f>'[3]Simulação Real Fechada'!C42/'[3]Simulação Dólar Fechada (US$)'!$A$1</f>
        <v>0</v>
      </c>
      <c r="D42" s="106">
        <f>'[3]Simulação Real Fechada'!D42/'[3]Simulação Dólar Fechada (US$)'!$A$1</f>
        <v>0</v>
      </c>
      <c r="F42" s="106">
        <f>'[3]Simulação Real Fechada'!N42/'[3]Simulação Dólar Fechada (US$)'!$A$1</f>
        <v>0</v>
      </c>
      <c r="G42" s="106">
        <f>'[3]Simulação Real Fechada'!O42/'[3]Simulação Dólar Fechada (US$)'!$A$1</f>
        <v>0</v>
      </c>
      <c r="H42" s="106">
        <f>'[3]Simulação Real Fechada'!X42/'[3]Simulação Dólar Fechada (US$)'!$A$1</f>
        <v>0</v>
      </c>
      <c r="I42" s="106">
        <f>'[3]Simulação Real Fechada'!Y42/'[3]Simulação Dólar Fechada (US$)'!$A$1</f>
        <v>0</v>
      </c>
      <c r="J42" s="106">
        <f>'[3]Simulação Real Fechada'!AH42/'[3]Simulação Dólar Fechada (US$)'!$A$1</f>
        <v>0</v>
      </c>
      <c r="K42" s="106">
        <f>'[3]Simulação Real Fechada'!AI42/'[3]Simulação Dólar Fechada (US$)'!$A$1</f>
        <v>0</v>
      </c>
      <c r="L42" s="106">
        <f>'[3]Simulação Real Fechada'!AR42/'[3]Simulação Dólar Fechada (US$)'!$A$1</f>
        <v>0</v>
      </c>
      <c r="M42" s="106">
        <f>'[3]Simulação Real Fechada'!AS42/'[3]Simulação Dólar Fechada (US$)'!$A$1</f>
        <v>0</v>
      </c>
      <c r="N42" s="106">
        <f>'[3]Simulação Real Fechada'!BB42/'[3]Simulação Dólar Fechada (US$)'!$A$1</f>
        <v>0</v>
      </c>
      <c r="O42" s="106">
        <f>'[3]Simulação Real Fechada'!BC42/'[3]Simulação Dólar Fechada (US$)'!$A$1</f>
        <v>0</v>
      </c>
      <c r="P42" s="106">
        <f>'[3]Simulação Real Fechada'!BD42/'[3]Simulação Dólar Fechada (US$)'!$A$1</f>
        <v>0</v>
      </c>
      <c r="Q42" s="106">
        <f>'[3]Simulação Real Fechada'!BE42/'[3]Simulação Dólar Fechada (US$)'!$A$1</f>
        <v>0</v>
      </c>
      <c r="R42" s="106">
        <f>'[3]Simulação Real Fechada'!BF42/'[3]Simulação Dólar Fechada (US$)'!$A$1</f>
        <v>0</v>
      </c>
    </row>
    <row r="43" spans="1:18" x14ac:dyDescent="0.25">
      <c r="A43" s="213" t="s">
        <v>155</v>
      </c>
      <c r="B43" s="106">
        <f>'[3]Simulação Real Fechada'!B43/'[3]Simulação Dólar Fechada (US$)'!$A$1</f>
        <v>0</v>
      </c>
      <c r="C43" s="106">
        <f>'[3]Simulação Real Fechada'!C43/'[3]Simulação Dólar Fechada (US$)'!$A$1</f>
        <v>0</v>
      </c>
      <c r="D43" s="106">
        <f>'[3]Simulação Real Fechada'!D43/'[3]Simulação Dólar Fechada (US$)'!$A$1</f>
        <v>0</v>
      </c>
      <c r="F43" s="106">
        <f>'[3]Simulação Real Fechada'!N43/'[3]Simulação Dólar Fechada (US$)'!$A$1</f>
        <v>0</v>
      </c>
      <c r="G43" s="106">
        <f>'[3]Simulação Real Fechada'!O43/'[3]Simulação Dólar Fechada (US$)'!$A$1</f>
        <v>0</v>
      </c>
      <c r="H43" s="106">
        <f>'[3]Simulação Real Fechada'!X43/'[3]Simulação Dólar Fechada (US$)'!$A$1</f>
        <v>0</v>
      </c>
      <c r="I43" s="106">
        <f>'[3]Simulação Real Fechada'!Y43/'[3]Simulação Dólar Fechada (US$)'!$A$1</f>
        <v>0</v>
      </c>
      <c r="J43" s="106">
        <f>'[3]Simulação Real Fechada'!AH43/'[3]Simulação Dólar Fechada (US$)'!$A$1</f>
        <v>0</v>
      </c>
      <c r="K43" s="106">
        <f>'[3]Simulação Real Fechada'!AI43/'[3]Simulação Dólar Fechada (US$)'!$A$1</f>
        <v>0</v>
      </c>
      <c r="L43" s="106">
        <f>'[3]Simulação Real Fechada'!AR43/'[3]Simulação Dólar Fechada (US$)'!$A$1</f>
        <v>0</v>
      </c>
      <c r="M43" s="106">
        <f>'[3]Simulação Real Fechada'!AS43/'[3]Simulação Dólar Fechada (US$)'!$A$1</f>
        <v>0</v>
      </c>
      <c r="N43" s="106">
        <f>'[3]Simulação Real Fechada'!BB43/'[3]Simulação Dólar Fechada (US$)'!$A$1</f>
        <v>0</v>
      </c>
      <c r="O43" s="106">
        <f>'[3]Simulação Real Fechada'!BC43/'[3]Simulação Dólar Fechada (US$)'!$A$1</f>
        <v>0</v>
      </c>
      <c r="P43" s="106">
        <f>'[3]Simulação Real Fechada'!BD43/'[3]Simulação Dólar Fechada (US$)'!$A$1</f>
        <v>0</v>
      </c>
      <c r="Q43" s="106">
        <f>'[3]Simulação Real Fechada'!BE43/'[3]Simulação Dólar Fechada (US$)'!$A$1</f>
        <v>0</v>
      </c>
      <c r="R43" s="106">
        <f>'[3]Simulação Real Fechada'!BF43/'[3]Simulação Dólar Fechada (US$)'!$A$1</f>
        <v>0</v>
      </c>
    </row>
    <row r="44" spans="1:18" x14ac:dyDescent="0.25">
      <c r="A44" s="213" t="s">
        <v>156</v>
      </c>
      <c r="B44" s="106">
        <f>'[3]Simulação Real Fechada'!B44/'[3]Simulação Dólar Fechada (US$)'!$A$1</f>
        <v>0</v>
      </c>
      <c r="C44" s="106">
        <f>'[3]Simulação Real Fechada'!C44/'[3]Simulação Dólar Fechada (US$)'!$A$1</f>
        <v>0</v>
      </c>
      <c r="D44" s="106">
        <f>'[3]Simulação Real Fechada'!D44/'[3]Simulação Dólar Fechada (US$)'!$A$1</f>
        <v>0</v>
      </c>
      <c r="F44" s="106">
        <f>'[3]Simulação Real Fechada'!N44/'[3]Simulação Dólar Fechada (US$)'!$A$1</f>
        <v>0</v>
      </c>
      <c r="G44" s="106">
        <f>'[3]Simulação Real Fechada'!O44/'[3]Simulação Dólar Fechada (US$)'!$A$1</f>
        <v>0</v>
      </c>
      <c r="H44" s="106">
        <f>'[3]Simulação Real Fechada'!X44/'[3]Simulação Dólar Fechada (US$)'!$A$1</f>
        <v>0</v>
      </c>
      <c r="I44" s="106">
        <f>'[3]Simulação Real Fechada'!Y44/'[3]Simulação Dólar Fechada (US$)'!$A$1</f>
        <v>0</v>
      </c>
      <c r="J44" s="106">
        <f>'[3]Simulação Real Fechada'!AH44/'[3]Simulação Dólar Fechada (US$)'!$A$1</f>
        <v>0</v>
      </c>
      <c r="K44" s="106">
        <f>'[3]Simulação Real Fechada'!AI44/'[3]Simulação Dólar Fechada (US$)'!$A$1</f>
        <v>0</v>
      </c>
      <c r="L44" s="106">
        <f>'[3]Simulação Real Fechada'!AR44/'[3]Simulação Dólar Fechada (US$)'!$A$1</f>
        <v>0</v>
      </c>
      <c r="M44" s="106">
        <f>'[3]Simulação Real Fechada'!AS44/'[3]Simulação Dólar Fechada (US$)'!$A$1</f>
        <v>0</v>
      </c>
      <c r="N44" s="106">
        <f>'[3]Simulação Real Fechada'!BB44/'[3]Simulação Dólar Fechada (US$)'!$A$1</f>
        <v>0</v>
      </c>
      <c r="O44" s="106">
        <f>'[3]Simulação Real Fechada'!BC44/'[3]Simulação Dólar Fechada (US$)'!$A$1</f>
        <v>0</v>
      </c>
      <c r="P44" s="106">
        <f>'[3]Simulação Real Fechada'!BD44/'[3]Simulação Dólar Fechada (US$)'!$A$1</f>
        <v>0</v>
      </c>
      <c r="Q44" s="106">
        <f>'[3]Simulação Real Fechada'!BE44/'[3]Simulação Dólar Fechada (US$)'!$A$1</f>
        <v>0</v>
      </c>
      <c r="R44" s="106">
        <f>'[3]Simulação Real Fechada'!BF44/'[3]Simulação Dólar Fechada (US$)'!$A$1</f>
        <v>0</v>
      </c>
    </row>
    <row r="45" spans="1:18" x14ac:dyDescent="0.25">
      <c r="A45" s="213" t="s">
        <v>158</v>
      </c>
      <c r="B45" s="106">
        <f>'[3]Simulação Real Fechada'!B45/'[3]Simulação Dólar Fechada (US$)'!$A$1</f>
        <v>0</v>
      </c>
      <c r="C45" s="106">
        <f>'[3]Simulação Real Fechada'!C45/'[3]Simulação Dólar Fechada (US$)'!$A$1</f>
        <v>0</v>
      </c>
      <c r="D45" s="106">
        <f>'[3]Simulação Real Fechada'!D45/'[3]Simulação Dólar Fechada (US$)'!$A$1</f>
        <v>0</v>
      </c>
      <c r="F45" s="106">
        <f>'[3]Simulação Real Fechada'!N45/'[3]Simulação Dólar Fechada (US$)'!$A$1</f>
        <v>0</v>
      </c>
      <c r="G45" s="106">
        <f>'[3]Simulação Real Fechada'!O45/'[3]Simulação Dólar Fechada (US$)'!$A$1</f>
        <v>0</v>
      </c>
      <c r="H45" s="106">
        <f>'[3]Simulação Real Fechada'!X45/'[3]Simulação Dólar Fechada (US$)'!$A$1</f>
        <v>0</v>
      </c>
      <c r="I45" s="106">
        <f>'[3]Simulação Real Fechada'!Y45/'[3]Simulação Dólar Fechada (US$)'!$A$1</f>
        <v>0</v>
      </c>
      <c r="J45" s="106">
        <f>'[3]Simulação Real Fechada'!AH45/'[3]Simulação Dólar Fechada (US$)'!$A$1</f>
        <v>0</v>
      </c>
      <c r="K45" s="106">
        <f>'[3]Simulação Real Fechada'!AI45/'[3]Simulação Dólar Fechada (US$)'!$A$1</f>
        <v>0</v>
      </c>
      <c r="L45" s="106">
        <f>'[3]Simulação Real Fechada'!AR45/'[3]Simulação Dólar Fechada (US$)'!$A$1</f>
        <v>0</v>
      </c>
      <c r="M45" s="106">
        <f>'[3]Simulação Real Fechada'!AS45/'[3]Simulação Dólar Fechada (US$)'!$A$1</f>
        <v>0</v>
      </c>
      <c r="N45" s="106">
        <f>'[3]Simulação Real Fechada'!BB45/'[3]Simulação Dólar Fechada (US$)'!$A$1</f>
        <v>0</v>
      </c>
      <c r="O45" s="106">
        <f>'[3]Simulação Real Fechada'!BC45/'[3]Simulação Dólar Fechada (US$)'!$A$1</f>
        <v>0</v>
      </c>
      <c r="P45" s="106">
        <f>'[3]Simulação Real Fechada'!BD45/'[3]Simulação Dólar Fechada (US$)'!$A$1</f>
        <v>0</v>
      </c>
      <c r="Q45" s="106">
        <f>'[3]Simulação Real Fechada'!BE45/'[3]Simulação Dólar Fechada (US$)'!$A$1</f>
        <v>0</v>
      </c>
      <c r="R45" s="106">
        <f>'[3]Simulação Real Fechada'!BF45/'[3]Simulação Dólar Fechada (US$)'!$A$1</f>
        <v>0</v>
      </c>
    </row>
    <row r="46" spans="1:18" x14ac:dyDescent="0.25">
      <c r="A46" s="213" t="s">
        <v>159</v>
      </c>
      <c r="B46" s="106">
        <f>'[3]Simulação Real Fechada'!B46/'[3]Simulação Dólar Fechada (US$)'!$A$1</f>
        <v>0</v>
      </c>
      <c r="C46" s="106">
        <f>'[3]Simulação Real Fechada'!C46/'[3]Simulação Dólar Fechada (US$)'!$A$1</f>
        <v>0</v>
      </c>
      <c r="D46" s="106">
        <f>'[3]Simulação Real Fechada'!D46/'[3]Simulação Dólar Fechada (US$)'!$A$1</f>
        <v>0</v>
      </c>
      <c r="F46" s="106">
        <f>'[3]Simulação Real Fechada'!N46/'[3]Simulação Dólar Fechada (US$)'!$A$1</f>
        <v>0</v>
      </c>
      <c r="G46" s="106">
        <f>'[3]Simulação Real Fechada'!O46/'[3]Simulação Dólar Fechada (US$)'!$A$1</f>
        <v>0</v>
      </c>
      <c r="H46" s="106">
        <f>'[3]Simulação Real Fechada'!X46/'[3]Simulação Dólar Fechada (US$)'!$A$1</f>
        <v>0</v>
      </c>
      <c r="I46" s="106">
        <f>'[3]Simulação Real Fechada'!Y46/'[3]Simulação Dólar Fechada (US$)'!$A$1</f>
        <v>0</v>
      </c>
      <c r="J46" s="106">
        <f>'[3]Simulação Real Fechada'!AH46/'[3]Simulação Dólar Fechada (US$)'!$A$1</f>
        <v>0</v>
      </c>
      <c r="K46" s="106">
        <f>'[3]Simulação Real Fechada'!AI46/'[3]Simulação Dólar Fechada (US$)'!$A$1</f>
        <v>0</v>
      </c>
      <c r="L46" s="106">
        <f>'[3]Simulação Real Fechada'!AR46/'[3]Simulação Dólar Fechada (US$)'!$A$1</f>
        <v>0</v>
      </c>
      <c r="M46" s="106">
        <f>'[3]Simulação Real Fechada'!AS46/'[3]Simulação Dólar Fechada (US$)'!$A$1</f>
        <v>0</v>
      </c>
      <c r="N46" s="106">
        <f>'[3]Simulação Real Fechada'!BB46/'[3]Simulação Dólar Fechada (US$)'!$A$1</f>
        <v>0</v>
      </c>
      <c r="O46" s="106">
        <f>'[3]Simulação Real Fechada'!BC46/'[3]Simulação Dólar Fechada (US$)'!$A$1</f>
        <v>0</v>
      </c>
      <c r="P46" s="106">
        <f>'[3]Simulação Real Fechada'!BD46/'[3]Simulação Dólar Fechada (US$)'!$A$1</f>
        <v>0</v>
      </c>
      <c r="Q46" s="106">
        <f>'[3]Simulação Real Fechada'!BE46/'[3]Simulação Dólar Fechada (US$)'!$A$1</f>
        <v>0</v>
      </c>
      <c r="R46" s="106">
        <f>'[3]Simulação Real Fechada'!BF46/'[3]Simulação Dólar Fechada (US$)'!$A$1</f>
        <v>0</v>
      </c>
    </row>
    <row r="47" spans="1:18" x14ac:dyDescent="0.25">
      <c r="A47" s="213" t="s">
        <v>160</v>
      </c>
      <c r="B47" s="106">
        <f>'[3]Simulação Real Fechada'!B47/'[3]Simulação Dólar Fechada (US$)'!$A$1</f>
        <v>0</v>
      </c>
      <c r="C47" s="106">
        <f>'[3]Simulação Real Fechada'!C47/'[3]Simulação Dólar Fechada (US$)'!$A$1</f>
        <v>0</v>
      </c>
      <c r="D47" s="106">
        <f>'[3]Simulação Real Fechada'!D47/'[3]Simulação Dólar Fechada (US$)'!$A$1</f>
        <v>0</v>
      </c>
      <c r="F47" s="106">
        <f>'[3]Simulação Real Fechada'!N47/'[3]Simulação Dólar Fechada (US$)'!$A$1</f>
        <v>0</v>
      </c>
      <c r="G47" s="106">
        <f>'[3]Simulação Real Fechada'!O47/'[3]Simulação Dólar Fechada (US$)'!$A$1</f>
        <v>0</v>
      </c>
      <c r="H47" s="106">
        <f>'[3]Simulação Real Fechada'!X47/'[3]Simulação Dólar Fechada (US$)'!$A$1</f>
        <v>0</v>
      </c>
      <c r="I47" s="106">
        <f>'[3]Simulação Real Fechada'!Y47/'[3]Simulação Dólar Fechada (US$)'!$A$1</f>
        <v>0</v>
      </c>
      <c r="J47" s="106">
        <f>'[3]Simulação Real Fechada'!AH47/'[3]Simulação Dólar Fechada (US$)'!$A$1</f>
        <v>0</v>
      </c>
      <c r="K47" s="106">
        <f>'[3]Simulação Real Fechada'!AI47/'[3]Simulação Dólar Fechada (US$)'!$A$1</f>
        <v>0</v>
      </c>
      <c r="L47" s="106">
        <f>'[3]Simulação Real Fechada'!AR47/'[3]Simulação Dólar Fechada (US$)'!$A$1</f>
        <v>0</v>
      </c>
      <c r="M47" s="106">
        <f>'[3]Simulação Real Fechada'!AS47/'[3]Simulação Dólar Fechada (US$)'!$A$1</f>
        <v>0</v>
      </c>
      <c r="N47" s="106">
        <f>'[3]Simulação Real Fechada'!BB47/'[3]Simulação Dólar Fechada (US$)'!$A$1</f>
        <v>0</v>
      </c>
      <c r="O47" s="106">
        <f>'[3]Simulação Real Fechada'!BC47/'[3]Simulação Dólar Fechada (US$)'!$A$1</f>
        <v>0</v>
      </c>
      <c r="P47" s="106">
        <f>'[3]Simulação Real Fechada'!BD47/'[3]Simulação Dólar Fechada (US$)'!$A$1</f>
        <v>0</v>
      </c>
      <c r="Q47" s="106">
        <f>'[3]Simulação Real Fechada'!BE47/'[3]Simulação Dólar Fechada (US$)'!$A$1</f>
        <v>0</v>
      </c>
      <c r="R47" s="106">
        <f>'[3]Simulação Real Fechada'!BF47/'[3]Simulação Dólar Fechada (US$)'!$A$1</f>
        <v>0</v>
      </c>
    </row>
    <row r="48" spans="1:18" x14ac:dyDescent="0.25">
      <c r="A48" s="170" t="s">
        <v>162</v>
      </c>
      <c r="B48" s="101">
        <f>'[3]Simulação Real Fechada'!B48/'[3]Simulação Dólar Fechada (US$)'!$A$1</f>
        <v>7973379.7058823528</v>
      </c>
      <c r="C48" s="101">
        <f>'[3]Simulação Real Fechada'!C48/'[3]Simulação Dólar Fechada (US$)'!$A$1</f>
        <v>269117.64705882355</v>
      </c>
      <c r="D48" s="101">
        <f>'[3]Simulação Real Fechada'!D48/'[3]Simulação Dólar Fechada (US$)'!$A$1</f>
        <v>8242497.3529411769</v>
      </c>
      <c r="F48" s="101">
        <f>'[3]Simulação Real Fechada'!N48/'[3]Simulação Dólar Fechada (US$)'!$A$1</f>
        <v>943292.0588235294</v>
      </c>
      <c r="G48" s="101">
        <f>'[3]Simulação Real Fechada'!O48/'[3]Simulação Dólar Fechada (US$)'!$A$1</f>
        <v>269117.64705882355</v>
      </c>
      <c r="H48" s="101">
        <f>'[3]Simulação Real Fechada'!X48/'[3]Simulação Dólar Fechada (US$)'!$A$1</f>
        <v>1958576.4705882354</v>
      </c>
      <c r="I48" s="101">
        <f>'[3]Simulação Real Fechada'!Y48/'[3]Simulação Dólar Fechada (US$)'!$A$1</f>
        <v>0</v>
      </c>
      <c r="J48" s="101">
        <f>'[3]Simulação Real Fechada'!AH48/'[3]Simulação Dólar Fechada (US$)'!$A$1</f>
        <v>2189705.8823529412</v>
      </c>
      <c r="K48" s="101">
        <f>'[3]Simulação Real Fechada'!AI48/'[3]Simulação Dólar Fechada (US$)'!$A$1</f>
        <v>0</v>
      </c>
      <c r="L48" s="101">
        <f>'[3]Simulação Real Fechada'!AR48/'[3]Simulação Dólar Fechada (US$)'!$A$1</f>
        <v>1681629.1176470588</v>
      </c>
      <c r="M48" s="101">
        <f>'[3]Simulação Real Fechada'!AS48/'[3]Simulação Dólar Fechada (US$)'!$A$1</f>
        <v>0</v>
      </c>
      <c r="N48" s="101">
        <f>'[3]Simulação Real Fechada'!BB48/'[3]Simulação Dólar Fechada (US$)'!$A$1</f>
        <v>1200176.1764705882</v>
      </c>
      <c r="O48" s="101">
        <f>'[3]Simulação Real Fechada'!BC48/'[3]Simulação Dólar Fechada (US$)'!$A$1</f>
        <v>0</v>
      </c>
      <c r="P48" s="101">
        <f>'[3]Simulação Real Fechada'!BD48/'[3]Simulação Dólar Fechada (US$)'!$A$1</f>
        <v>7973379.7058823528</v>
      </c>
      <c r="Q48" s="101">
        <f>'[3]Simulação Real Fechada'!BE48/'[3]Simulação Dólar Fechada (US$)'!$A$1</f>
        <v>269117.64705882355</v>
      </c>
      <c r="R48" s="101">
        <f>'[3]Simulação Real Fechada'!BF48/'[3]Simulação Dólar Fechada (US$)'!$A$1</f>
        <v>8242497.3529411769</v>
      </c>
    </row>
    <row r="49" spans="1:18" x14ac:dyDescent="0.25">
      <c r="A49" s="161" t="s">
        <v>163</v>
      </c>
      <c r="B49" s="106">
        <f>'[3]Simulação Real Fechada'!B49/'[3]Simulação Dólar Fechada (US$)'!$A$1</f>
        <v>1442940.8823529412</v>
      </c>
      <c r="C49" s="106">
        <f>'[3]Simulação Real Fechada'!C49/'[3]Simulação Dólar Fechada (US$)'!$A$1</f>
        <v>0</v>
      </c>
      <c r="D49" s="106">
        <f>'[3]Simulação Real Fechada'!D49/'[3]Simulação Dólar Fechada (US$)'!$A$1</f>
        <v>1442940.8823529412</v>
      </c>
      <c r="F49" s="106">
        <f>'[3]Simulação Real Fechada'!N49/'[3]Simulação Dólar Fechada (US$)'!$A$1</f>
        <v>156058.82352941178</v>
      </c>
      <c r="G49" s="106">
        <f>'[3]Simulação Real Fechada'!O49/'[3]Simulação Dólar Fechada (US$)'!$A$1</f>
        <v>0</v>
      </c>
      <c r="H49" s="106">
        <f>'[3]Simulação Real Fechada'!X49/'[3]Simulação Dólar Fechada (US$)'!$A$1</f>
        <v>320941.17647058825</v>
      </c>
      <c r="I49" s="106">
        <f>'[3]Simulação Real Fechada'!Y49/'[3]Simulação Dólar Fechada (US$)'!$A$1</f>
        <v>0</v>
      </c>
      <c r="J49" s="106">
        <f>'[3]Simulação Real Fechada'!AH49/'[3]Simulação Dólar Fechada (US$)'!$A$1</f>
        <v>320941.17647058825</v>
      </c>
      <c r="K49" s="106">
        <f>'[3]Simulação Real Fechada'!AI49/'[3]Simulação Dólar Fechada (US$)'!$A$1</f>
        <v>0</v>
      </c>
      <c r="L49" s="106">
        <f>'[3]Simulação Real Fechada'!AR49/'[3]Simulação Dólar Fechada (US$)'!$A$1</f>
        <v>320941.17647058825</v>
      </c>
      <c r="M49" s="106">
        <f>'[3]Simulação Real Fechada'!AS49/'[3]Simulação Dólar Fechada (US$)'!$A$1</f>
        <v>0</v>
      </c>
      <c r="N49" s="106">
        <f>'[3]Simulação Real Fechada'!BB49/'[3]Simulação Dólar Fechada (US$)'!$A$1</f>
        <v>324058.5294117647</v>
      </c>
      <c r="O49" s="106">
        <f>'[3]Simulação Real Fechada'!BC49/'[3]Simulação Dólar Fechada (US$)'!$A$1</f>
        <v>0</v>
      </c>
      <c r="P49" s="106">
        <f>'[3]Simulação Real Fechada'!BD49/'[3]Simulação Dólar Fechada (US$)'!$A$1</f>
        <v>1442940.8823529412</v>
      </c>
      <c r="Q49" s="106">
        <f>'[3]Simulação Real Fechada'!BE49/'[3]Simulação Dólar Fechada (US$)'!$A$1</f>
        <v>0</v>
      </c>
      <c r="R49" s="106">
        <f>'[3]Simulação Real Fechada'!BF49/'[3]Simulação Dólar Fechada (US$)'!$A$1</f>
        <v>1442940.8823529412</v>
      </c>
    </row>
    <row r="50" spans="1:18" x14ac:dyDescent="0.25">
      <c r="A50" s="161" t="s">
        <v>164</v>
      </c>
      <c r="B50" s="106">
        <f>'[3]Simulação Real Fechada'!B50/'[3]Simulação Dólar Fechada (US$)'!$A$1</f>
        <v>194117.64705882352</v>
      </c>
      <c r="C50" s="106">
        <f>'[3]Simulação Real Fechada'!C50/'[3]Simulação Dólar Fechada (US$)'!$A$1</f>
        <v>0</v>
      </c>
      <c r="D50" s="106">
        <f>'[3]Simulação Real Fechada'!D50/'[3]Simulação Dólar Fechada (US$)'!$A$1</f>
        <v>194117.64705882352</v>
      </c>
      <c r="F50" s="106">
        <f>'[3]Simulação Real Fechada'!N50/'[3]Simulação Dólar Fechada (US$)'!$A$1</f>
        <v>26764.705882352941</v>
      </c>
      <c r="G50" s="106">
        <f>'[3]Simulação Real Fechada'!O50/'[3]Simulação Dólar Fechada (US$)'!$A$1</f>
        <v>0</v>
      </c>
      <c r="H50" s="106">
        <f>'[3]Simulação Real Fechada'!X50/'[3]Simulação Dólar Fechada (US$)'!$A$1</f>
        <v>49294.117647058825</v>
      </c>
      <c r="I50" s="106">
        <f>'[3]Simulação Real Fechada'!Y50/'[3]Simulação Dólar Fechada (US$)'!$A$1</f>
        <v>0</v>
      </c>
      <c r="J50" s="106">
        <f>'[3]Simulação Real Fechada'!AH50/'[3]Simulação Dólar Fechada (US$)'!$A$1</f>
        <v>39352.941176470587</v>
      </c>
      <c r="K50" s="106">
        <f>'[3]Simulação Real Fechada'!AI50/'[3]Simulação Dólar Fechada (US$)'!$A$1</f>
        <v>0</v>
      </c>
      <c r="L50" s="106">
        <f>'[3]Simulação Real Fechada'!AR50/'[3]Simulação Dólar Fechada (US$)'!$A$1</f>
        <v>39352.941176470587</v>
      </c>
      <c r="M50" s="106">
        <f>'[3]Simulação Real Fechada'!AS50/'[3]Simulação Dólar Fechada (US$)'!$A$1</f>
        <v>0</v>
      </c>
      <c r="N50" s="106">
        <f>'[3]Simulação Real Fechada'!BB50/'[3]Simulação Dólar Fechada (US$)'!$A$1</f>
        <v>39352.941176470587</v>
      </c>
      <c r="O50" s="106">
        <f>'[3]Simulação Real Fechada'!BC50/'[3]Simulação Dólar Fechada (US$)'!$A$1</f>
        <v>0</v>
      </c>
      <c r="P50" s="106">
        <f>'[3]Simulação Real Fechada'!BD50/'[3]Simulação Dólar Fechada (US$)'!$A$1</f>
        <v>194117.64705882352</v>
      </c>
      <c r="Q50" s="106">
        <f>'[3]Simulação Real Fechada'!BE50/'[3]Simulação Dólar Fechada (US$)'!$A$1</f>
        <v>0</v>
      </c>
      <c r="R50" s="106">
        <f>'[3]Simulação Real Fechada'!BF50/'[3]Simulação Dólar Fechada (US$)'!$A$1</f>
        <v>194117.64705882352</v>
      </c>
    </row>
    <row r="51" spans="1:18" x14ac:dyDescent="0.25">
      <c r="A51" s="161" t="s">
        <v>165</v>
      </c>
      <c r="B51" s="106">
        <f>'[3]Simulação Real Fechada'!B51/'[3]Simulação Dólar Fechada (US$)'!$A$1</f>
        <v>3935294.1176470588</v>
      </c>
      <c r="C51" s="106">
        <f>'[3]Simulação Real Fechada'!C51/'[3]Simulação Dólar Fechada (US$)'!$A$1</f>
        <v>0</v>
      </c>
      <c r="D51" s="106">
        <f>'[3]Simulação Real Fechada'!D51/'[3]Simulação Dólar Fechada (US$)'!$A$1</f>
        <v>3935294.1176470588</v>
      </c>
      <c r="F51" s="106">
        <f>'[3]Simulação Real Fechada'!N51/'[3]Simulação Dólar Fechada (US$)'!$A$1</f>
        <v>475000</v>
      </c>
      <c r="G51" s="106">
        <f>'[3]Simulação Real Fechada'!O51/'[3]Simulação Dólar Fechada (US$)'!$A$1</f>
        <v>0</v>
      </c>
      <c r="H51" s="106">
        <f>'[3]Simulação Real Fechada'!X51/'[3]Simulação Dólar Fechada (US$)'!$A$1</f>
        <v>950000</v>
      </c>
      <c r="I51" s="106">
        <f>'[3]Simulação Real Fechada'!Y51/'[3]Simulação Dólar Fechada (US$)'!$A$1</f>
        <v>0</v>
      </c>
      <c r="J51" s="106">
        <f>'[3]Simulação Real Fechada'!AH51/'[3]Simulação Dólar Fechada (US$)'!$A$1</f>
        <v>926470.5882352941</v>
      </c>
      <c r="K51" s="106">
        <f>'[3]Simulação Real Fechada'!AI51/'[3]Simulação Dólar Fechada (US$)'!$A$1</f>
        <v>0</v>
      </c>
      <c r="L51" s="106">
        <f>'[3]Simulação Real Fechada'!AR51/'[3]Simulação Dólar Fechada (US$)'!$A$1</f>
        <v>914705.8823529412</v>
      </c>
      <c r="M51" s="106">
        <f>'[3]Simulação Real Fechada'!AS51/'[3]Simulação Dólar Fechada (US$)'!$A$1</f>
        <v>0</v>
      </c>
      <c r="N51" s="106">
        <f>'[3]Simulação Real Fechada'!BB51/'[3]Simulação Dólar Fechada (US$)'!$A$1</f>
        <v>669117.6470588235</v>
      </c>
      <c r="O51" s="106">
        <f>'[3]Simulação Real Fechada'!BC51/'[3]Simulação Dólar Fechada (US$)'!$A$1</f>
        <v>0</v>
      </c>
      <c r="P51" s="106">
        <f>'[3]Simulação Real Fechada'!BD51/'[3]Simulação Dólar Fechada (US$)'!$A$1</f>
        <v>3935294.1176470588</v>
      </c>
      <c r="Q51" s="106">
        <f>'[3]Simulação Real Fechada'!BE51/'[3]Simulação Dólar Fechada (US$)'!$A$1</f>
        <v>0</v>
      </c>
      <c r="R51" s="106">
        <f>'[3]Simulação Real Fechada'!BF51/'[3]Simulação Dólar Fechada (US$)'!$A$1</f>
        <v>3935294.1176470588</v>
      </c>
    </row>
    <row r="52" spans="1:18" ht="24" x14ac:dyDescent="0.25">
      <c r="A52" s="110" t="s">
        <v>166</v>
      </c>
      <c r="B52" s="106">
        <f>'[3]Simulação Real Fechada'!B52/'[3]Simulação Dólar Fechada (US$)'!$A$1</f>
        <v>147058.82352941178</v>
      </c>
      <c r="C52" s="106">
        <f>'[3]Simulação Real Fechada'!C52/'[3]Simulação Dólar Fechada (US$)'!$A$1</f>
        <v>0</v>
      </c>
      <c r="D52" s="106">
        <f>'[3]Simulação Real Fechada'!D52/'[3]Simulação Dólar Fechada (US$)'!$A$1</f>
        <v>147058.82352941178</v>
      </c>
      <c r="F52" s="106">
        <f>'[3]Simulação Real Fechada'!N52/'[3]Simulação Dólar Fechada (US$)'!$A$1</f>
        <v>0</v>
      </c>
      <c r="G52" s="106">
        <f>'[3]Simulação Real Fechada'!O52/'[3]Simulação Dólar Fechada (US$)'!$A$1</f>
        <v>0</v>
      </c>
      <c r="H52" s="106">
        <f>'[3]Simulação Real Fechada'!X52/'[3]Simulação Dólar Fechada (US$)'!$A$1</f>
        <v>147058.82352941178</v>
      </c>
      <c r="I52" s="106">
        <f>'[3]Simulação Real Fechada'!Y52/'[3]Simulação Dólar Fechada (US$)'!$A$1</f>
        <v>0</v>
      </c>
      <c r="J52" s="106">
        <f>'[3]Simulação Real Fechada'!AH52/'[3]Simulação Dólar Fechada (US$)'!$A$1</f>
        <v>0</v>
      </c>
      <c r="K52" s="106">
        <f>'[3]Simulação Real Fechada'!AI52/'[3]Simulação Dólar Fechada (US$)'!$A$1</f>
        <v>0</v>
      </c>
      <c r="L52" s="106">
        <f>'[3]Simulação Real Fechada'!AR52/'[3]Simulação Dólar Fechada (US$)'!$A$1</f>
        <v>0</v>
      </c>
      <c r="M52" s="106">
        <f>'[3]Simulação Real Fechada'!AS52/'[3]Simulação Dólar Fechada (US$)'!$A$1</f>
        <v>0</v>
      </c>
      <c r="N52" s="106">
        <f>'[3]Simulação Real Fechada'!BB52/'[3]Simulação Dólar Fechada (US$)'!$A$1</f>
        <v>0</v>
      </c>
      <c r="O52" s="106">
        <f>'[3]Simulação Real Fechada'!BC52/'[3]Simulação Dólar Fechada (US$)'!$A$1</f>
        <v>0</v>
      </c>
      <c r="P52" s="106">
        <f>'[3]Simulação Real Fechada'!BD52/'[3]Simulação Dólar Fechada (US$)'!$A$1</f>
        <v>147058.82352941178</v>
      </c>
      <c r="Q52" s="106">
        <f>'[3]Simulação Real Fechada'!BE52/'[3]Simulação Dólar Fechada (US$)'!$A$1</f>
        <v>0</v>
      </c>
      <c r="R52" s="106">
        <f>'[3]Simulação Real Fechada'!BF52/'[3]Simulação Dólar Fechada (US$)'!$A$1</f>
        <v>147058.82352941178</v>
      </c>
    </row>
    <row r="53" spans="1:18" x14ac:dyDescent="0.25">
      <c r="A53" s="161" t="s">
        <v>167</v>
      </c>
      <c r="B53" s="106">
        <f>'[3]Simulação Real Fechada'!B53/'[3]Simulação Dólar Fechada (US$)'!$A$1</f>
        <v>176470.58823529413</v>
      </c>
      <c r="C53" s="106">
        <f>'[3]Simulação Real Fechada'!C53/'[3]Simulação Dólar Fechada (US$)'!$A$1</f>
        <v>0</v>
      </c>
      <c r="D53" s="106">
        <f>'[3]Simulação Real Fechada'!D53/'[3]Simulação Dólar Fechada (US$)'!$A$1</f>
        <v>176470.58823529413</v>
      </c>
      <c r="F53" s="106">
        <f>'[3]Simulação Real Fechada'!N53/'[3]Simulação Dólar Fechada (US$)'!$A$1</f>
        <v>0</v>
      </c>
      <c r="G53" s="106">
        <f>'[3]Simulação Real Fechada'!O53/'[3]Simulação Dólar Fechada (US$)'!$A$1</f>
        <v>0</v>
      </c>
      <c r="H53" s="106">
        <f>'[3]Simulação Real Fechada'!X53/'[3]Simulação Dólar Fechada (US$)'!$A$1</f>
        <v>0</v>
      </c>
      <c r="I53" s="106">
        <f>'[3]Simulação Real Fechada'!Y53/'[3]Simulação Dólar Fechada (US$)'!$A$1</f>
        <v>0</v>
      </c>
      <c r="J53" s="106">
        <f>'[3]Simulação Real Fechada'!AH53/'[3]Simulação Dólar Fechada (US$)'!$A$1</f>
        <v>44117.647058823532</v>
      </c>
      <c r="K53" s="106">
        <f>'[3]Simulação Real Fechada'!AI53/'[3]Simulação Dólar Fechada (US$)'!$A$1</f>
        <v>0</v>
      </c>
      <c r="L53" s="106">
        <f>'[3]Simulação Real Fechada'!AR53/'[3]Simulação Dólar Fechada (US$)'!$A$1</f>
        <v>0</v>
      </c>
      <c r="M53" s="106">
        <f>'[3]Simulação Real Fechada'!AS53/'[3]Simulação Dólar Fechada (US$)'!$A$1</f>
        <v>0</v>
      </c>
      <c r="N53" s="106">
        <f>'[3]Simulação Real Fechada'!BB53/'[3]Simulação Dólar Fechada (US$)'!$A$1</f>
        <v>132352.9411764706</v>
      </c>
      <c r="O53" s="106">
        <f>'[3]Simulação Real Fechada'!BC53/'[3]Simulação Dólar Fechada (US$)'!$A$1</f>
        <v>0</v>
      </c>
      <c r="P53" s="106">
        <f>'[3]Simulação Real Fechada'!BD53/'[3]Simulação Dólar Fechada (US$)'!$A$1</f>
        <v>176470.58823529413</v>
      </c>
      <c r="Q53" s="106">
        <f>'[3]Simulação Real Fechada'!BE53/'[3]Simulação Dólar Fechada (US$)'!$A$1</f>
        <v>0</v>
      </c>
      <c r="R53" s="106">
        <f>'[3]Simulação Real Fechada'!BF53/'[3]Simulação Dólar Fechada (US$)'!$A$1</f>
        <v>176470.58823529413</v>
      </c>
    </row>
    <row r="54" spans="1:18" x14ac:dyDescent="0.25">
      <c r="A54" s="161" t="s">
        <v>168</v>
      </c>
      <c r="B54" s="106">
        <f>'[3]Simulação Real Fechada'!B54/'[3]Simulação Dólar Fechada (US$)'!$A$1</f>
        <v>176470.58823529413</v>
      </c>
      <c r="C54" s="106">
        <f>'[3]Simulação Real Fechada'!C54/'[3]Simulação Dólar Fechada (US$)'!$A$1</f>
        <v>0</v>
      </c>
      <c r="D54" s="106">
        <f>'[3]Simulação Real Fechada'!D54/'[3]Simulação Dólar Fechada (US$)'!$A$1</f>
        <v>176470.58823529413</v>
      </c>
      <c r="F54" s="106">
        <f>'[3]Simulação Real Fechada'!N54/'[3]Simulação Dólar Fechada (US$)'!$A$1</f>
        <v>35294.117647058825</v>
      </c>
      <c r="G54" s="106">
        <f>'[3]Simulação Real Fechada'!O54/'[3]Simulação Dólar Fechada (US$)'!$A$1</f>
        <v>0</v>
      </c>
      <c r="H54" s="106">
        <f>'[3]Simulação Real Fechada'!X54/'[3]Simulação Dólar Fechada (US$)'!$A$1</f>
        <v>35294.117647058825</v>
      </c>
      <c r="I54" s="106">
        <f>'[3]Simulação Real Fechada'!Y54/'[3]Simulação Dólar Fechada (US$)'!$A$1</f>
        <v>0</v>
      </c>
      <c r="J54" s="106">
        <f>'[3]Simulação Real Fechada'!AH54/'[3]Simulação Dólar Fechada (US$)'!$A$1</f>
        <v>35294.117647058825</v>
      </c>
      <c r="K54" s="106">
        <f>'[3]Simulação Real Fechada'!AI54/'[3]Simulação Dólar Fechada (US$)'!$A$1</f>
        <v>0</v>
      </c>
      <c r="L54" s="106">
        <f>'[3]Simulação Real Fechada'!AR54/'[3]Simulação Dólar Fechada (US$)'!$A$1</f>
        <v>35294.117647058825</v>
      </c>
      <c r="M54" s="106">
        <f>'[3]Simulação Real Fechada'!AS54/'[3]Simulação Dólar Fechada (US$)'!$A$1</f>
        <v>0</v>
      </c>
      <c r="N54" s="106">
        <f>'[3]Simulação Real Fechada'!BB54/'[3]Simulação Dólar Fechada (US$)'!$A$1</f>
        <v>35294.117647058825</v>
      </c>
      <c r="O54" s="106">
        <f>'[3]Simulação Real Fechada'!BC54/'[3]Simulação Dólar Fechada (US$)'!$A$1</f>
        <v>0</v>
      </c>
      <c r="P54" s="106">
        <f>'[3]Simulação Real Fechada'!BD54/'[3]Simulação Dólar Fechada (US$)'!$A$1</f>
        <v>176470.58823529413</v>
      </c>
      <c r="Q54" s="106">
        <f>'[3]Simulação Real Fechada'!BE54/'[3]Simulação Dólar Fechada (US$)'!$A$1</f>
        <v>0</v>
      </c>
      <c r="R54" s="106">
        <f>'[3]Simulação Real Fechada'!BF54/'[3]Simulação Dólar Fechada (US$)'!$A$1</f>
        <v>176470.58823529413</v>
      </c>
    </row>
    <row r="55" spans="1:18" x14ac:dyDescent="0.25">
      <c r="A55" s="163" t="s">
        <v>169</v>
      </c>
      <c r="B55" s="106">
        <f>'[3]Simulação Real Fechada'!B55/'[3]Simulação Dólar Fechada (US$)'!$A$1</f>
        <v>0</v>
      </c>
      <c r="C55" s="106">
        <f>'[3]Simulação Real Fechada'!C55/'[3]Simulação Dólar Fechada (US$)'!$A$1</f>
        <v>269117.64705882355</v>
      </c>
      <c r="D55" s="106">
        <f>'[3]Simulação Real Fechada'!D55/'[3]Simulação Dólar Fechada (US$)'!$A$1</f>
        <v>269117.64705882355</v>
      </c>
      <c r="F55" s="106">
        <f>'[3]Simulação Real Fechada'!N55/'[3]Simulação Dólar Fechada (US$)'!$A$1</f>
        <v>0</v>
      </c>
      <c r="G55" s="106">
        <f>'[3]Simulação Real Fechada'!O55/'[3]Simulação Dólar Fechada (US$)'!$A$1</f>
        <v>269117.64705882355</v>
      </c>
      <c r="H55" s="106">
        <f>'[3]Simulação Real Fechada'!X55/'[3]Simulação Dólar Fechada (US$)'!$A$1</f>
        <v>0</v>
      </c>
      <c r="I55" s="106">
        <f>'[3]Simulação Real Fechada'!Y55/'[3]Simulação Dólar Fechada (US$)'!$A$1</f>
        <v>0</v>
      </c>
      <c r="J55" s="106">
        <f>'[3]Simulação Real Fechada'!AH55/'[3]Simulação Dólar Fechada (US$)'!$A$1</f>
        <v>0</v>
      </c>
      <c r="K55" s="106">
        <f>'[3]Simulação Real Fechada'!AI55/'[3]Simulação Dólar Fechada (US$)'!$A$1</f>
        <v>0</v>
      </c>
      <c r="L55" s="106">
        <f>'[3]Simulação Real Fechada'!AR55/'[3]Simulação Dólar Fechada (US$)'!$A$1</f>
        <v>0</v>
      </c>
      <c r="M55" s="106">
        <f>'[3]Simulação Real Fechada'!AS55/'[3]Simulação Dólar Fechada (US$)'!$A$1</f>
        <v>0</v>
      </c>
      <c r="N55" s="106">
        <f>'[3]Simulação Real Fechada'!BB55/'[3]Simulação Dólar Fechada (US$)'!$A$1</f>
        <v>0</v>
      </c>
      <c r="O55" s="106">
        <f>'[3]Simulação Real Fechada'!BC55/'[3]Simulação Dólar Fechada (US$)'!$A$1</f>
        <v>0</v>
      </c>
      <c r="P55" s="106">
        <f>'[3]Simulação Real Fechada'!BD55/'[3]Simulação Dólar Fechada (US$)'!$A$1</f>
        <v>0</v>
      </c>
      <c r="Q55" s="106">
        <f>'[3]Simulação Real Fechada'!BE55/'[3]Simulação Dólar Fechada (US$)'!$A$1</f>
        <v>269117.64705882355</v>
      </c>
      <c r="R55" s="106">
        <f>'[3]Simulação Real Fechada'!BF55/'[3]Simulação Dólar Fechada (US$)'!$A$1</f>
        <v>269117.64705882355</v>
      </c>
    </row>
    <row r="56" spans="1:18" x14ac:dyDescent="0.25">
      <c r="A56" s="213" t="s">
        <v>170</v>
      </c>
      <c r="B56" s="106">
        <f>'[3]Simulação Real Fechada'!B56/'[3]Simulação Dólar Fechada (US$)'!$A$1</f>
        <v>0</v>
      </c>
      <c r="C56" s="106">
        <f>'[3]Simulação Real Fechada'!C56/'[3]Simulação Dólar Fechada (US$)'!$A$1</f>
        <v>0</v>
      </c>
      <c r="D56" s="106">
        <f>'[3]Simulação Real Fechada'!D56/'[3]Simulação Dólar Fechada (US$)'!$A$1</f>
        <v>0</v>
      </c>
      <c r="F56" s="106">
        <f>'[3]Simulação Real Fechada'!N56/'[3]Simulação Dólar Fechada (US$)'!$A$1</f>
        <v>0</v>
      </c>
      <c r="G56" s="106">
        <f>'[3]Simulação Real Fechada'!O56/'[3]Simulação Dólar Fechada (US$)'!$A$1</f>
        <v>0</v>
      </c>
      <c r="H56" s="106">
        <f>'[3]Simulação Real Fechada'!X56/'[3]Simulação Dólar Fechada (US$)'!$A$1</f>
        <v>0</v>
      </c>
      <c r="I56" s="106">
        <f>'[3]Simulação Real Fechada'!Y56/'[3]Simulação Dólar Fechada (US$)'!$A$1</f>
        <v>0</v>
      </c>
      <c r="J56" s="106">
        <f>'[3]Simulação Real Fechada'!AH56/'[3]Simulação Dólar Fechada (US$)'!$A$1</f>
        <v>0</v>
      </c>
      <c r="K56" s="106">
        <f>'[3]Simulação Real Fechada'!AI56/'[3]Simulação Dólar Fechada (US$)'!$A$1</f>
        <v>0</v>
      </c>
      <c r="L56" s="106">
        <f>'[3]Simulação Real Fechada'!AR56/'[3]Simulação Dólar Fechada (US$)'!$A$1</f>
        <v>0</v>
      </c>
      <c r="M56" s="106">
        <f>'[3]Simulação Real Fechada'!AS56/'[3]Simulação Dólar Fechada (US$)'!$A$1</f>
        <v>0</v>
      </c>
      <c r="N56" s="106">
        <f>'[3]Simulação Real Fechada'!BB56/'[3]Simulação Dólar Fechada (US$)'!$A$1</f>
        <v>0</v>
      </c>
      <c r="O56" s="106">
        <f>'[3]Simulação Real Fechada'!BC56/'[3]Simulação Dólar Fechada (US$)'!$A$1</f>
        <v>0</v>
      </c>
      <c r="P56" s="106">
        <f>'[3]Simulação Real Fechada'!BD56/'[3]Simulação Dólar Fechada (US$)'!$A$1</f>
        <v>0</v>
      </c>
      <c r="Q56" s="106">
        <f>'[3]Simulação Real Fechada'!BE56/'[3]Simulação Dólar Fechada (US$)'!$A$1</f>
        <v>0</v>
      </c>
      <c r="R56" s="106">
        <f>'[3]Simulação Real Fechada'!BF56/'[3]Simulação Dólar Fechada (US$)'!$A$1</f>
        <v>0</v>
      </c>
    </row>
    <row r="57" spans="1:18" x14ac:dyDescent="0.25">
      <c r="A57" s="213" t="s">
        <v>171</v>
      </c>
      <c r="B57" s="106">
        <f>'[3]Simulação Real Fechada'!B57/'[3]Simulação Dólar Fechada (US$)'!$A$1</f>
        <v>0</v>
      </c>
      <c r="C57" s="106">
        <f>'[3]Simulação Real Fechada'!C57/'[3]Simulação Dólar Fechada (US$)'!$A$1</f>
        <v>0</v>
      </c>
      <c r="D57" s="106">
        <f>'[3]Simulação Real Fechada'!D57/'[3]Simulação Dólar Fechada (US$)'!$A$1</f>
        <v>0</v>
      </c>
      <c r="F57" s="106">
        <f>'[3]Simulação Real Fechada'!N57/'[3]Simulação Dólar Fechada (US$)'!$A$1</f>
        <v>0</v>
      </c>
      <c r="G57" s="106">
        <f>'[3]Simulação Real Fechada'!O57/'[3]Simulação Dólar Fechada (US$)'!$A$1</f>
        <v>0</v>
      </c>
      <c r="H57" s="106">
        <f>'[3]Simulação Real Fechada'!X57/'[3]Simulação Dólar Fechada (US$)'!$A$1</f>
        <v>0</v>
      </c>
      <c r="I57" s="106">
        <f>'[3]Simulação Real Fechada'!Y57/'[3]Simulação Dólar Fechada (US$)'!$A$1</f>
        <v>0</v>
      </c>
      <c r="J57" s="106">
        <f>'[3]Simulação Real Fechada'!AH57/'[3]Simulação Dólar Fechada (US$)'!$A$1</f>
        <v>0</v>
      </c>
      <c r="K57" s="106">
        <f>'[3]Simulação Real Fechada'!AI57/'[3]Simulação Dólar Fechada (US$)'!$A$1</f>
        <v>0</v>
      </c>
      <c r="L57" s="106">
        <f>'[3]Simulação Real Fechada'!AR57/'[3]Simulação Dólar Fechada (US$)'!$A$1</f>
        <v>0</v>
      </c>
      <c r="M57" s="106">
        <f>'[3]Simulação Real Fechada'!AS57/'[3]Simulação Dólar Fechada (US$)'!$A$1</f>
        <v>0</v>
      </c>
      <c r="N57" s="106">
        <f>'[3]Simulação Real Fechada'!BB57/'[3]Simulação Dólar Fechada (US$)'!$A$1</f>
        <v>0</v>
      </c>
      <c r="O57" s="106">
        <f>'[3]Simulação Real Fechada'!BC57/'[3]Simulação Dólar Fechada (US$)'!$A$1</f>
        <v>0</v>
      </c>
      <c r="P57" s="106">
        <f>'[3]Simulação Real Fechada'!BD57/'[3]Simulação Dólar Fechada (US$)'!$A$1</f>
        <v>0</v>
      </c>
      <c r="Q57" s="106">
        <f>'[3]Simulação Real Fechada'!BE57/'[3]Simulação Dólar Fechada (US$)'!$A$1</f>
        <v>0</v>
      </c>
      <c r="R57" s="106">
        <f>'[3]Simulação Real Fechada'!BF57/'[3]Simulação Dólar Fechada (US$)'!$A$1</f>
        <v>0</v>
      </c>
    </row>
    <row r="58" spans="1:18" x14ac:dyDescent="0.25">
      <c r="A58" s="213" t="s">
        <v>172</v>
      </c>
      <c r="B58" s="106">
        <f>'[3]Simulação Real Fechada'!B58/'[3]Simulação Dólar Fechada (US$)'!$A$1</f>
        <v>0</v>
      </c>
      <c r="C58" s="106">
        <f>'[3]Simulação Real Fechada'!C58/'[3]Simulação Dólar Fechada (US$)'!$A$1</f>
        <v>0</v>
      </c>
      <c r="D58" s="106">
        <f>'[3]Simulação Real Fechada'!D58/'[3]Simulação Dólar Fechada (US$)'!$A$1</f>
        <v>0</v>
      </c>
      <c r="F58" s="106">
        <f>'[3]Simulação Real Fechada'!N58/'[3]Simulação Dólar Fechada (US$)'!$A$1</f>
        <v>0</v>
      </c>
      <c r="G58" s="106">
        <f>'[3]Simulação Real Fechada'!O58/'[3]Simulação Dólar Fechada (US$)'!$A$1</f>
        <v>0</v>
      </c>
      <c r="H58" s="106">
        <f>'[3]Simulação Real Fechada'!X58/'[3]Simulação Dólar Fechada (US$)'!$A$1</f>
        <v>0</v>
      </c>
      <c r="I58" s="106">
        <f>'[3]Simulação Real Fechada'!Y58/'[3]Simulação Dólar Fechada (US$)'!$A$1</f>
        <v>0</v>
      </c>
      <c r="J58" s="106">
        <f>'[3]Simulação Real Fechada'!AH58/'[3]Simulação Dólar Fechada (US$)'!$A$1</f>
        <v>0</v>
      </c>
      <c r="K58" s="106">
        <f>'[3]Simulação Real Fechada'!AI58/'[3]Simulação Dólar Fechada (US$)'!$A$1</f>
        <v>0</v>
      </c>
      <c r="L58" s="106">
        <f>'[3]Simulação Real Fechada'!AR58/'[3]Simulação Dólar Fechada (US$)'!$A$1</f>
        <v>0</v>
      </c>
      <c r="M58" s="106">
        <f>'[3]Simulação Real Fechada'!AS58/'[3]Simulação Dólar Fechada (US$)'!$A$1</f>
        <v>0</v>
      </c>
      <c r="N58" s="106">
        <f>'[3]Simulação Real Fechada'!BB58/'[3]Simulação Dólar Fechada (US$)'!$A$1</f>
        <v>0</v>
      </c>
      <c r="O58" s="106">
        <f>'[3]Simulação Real Fechada'!BC58/'[3]Simulação Dólar Fechada (US$)'!$A$1</f>
        <v>0</v>
      </c>
      <c r="P58" s="106">
        <f>'[3]Simulação Real Fechada'!BD58/'[3]Simulação Dólar Fechada (US$)'!$A$1</f>
        <v>0</v>
      </c>
      <c r="Q58" s="106">
        <f>'[3]Simulação Real Fechada'!BE58/'[3]Simulação Dólar Fechada (US$)'!$A$1</f>
        <v>0</v>
      </c>
      <c r="R58" s="106">
        <f>'[3]Simulação Real Fechada'!BF58/'[3]Simulação Dólar Fechada (US$)'!$A$1</f>
        <v>0</v>
      </c>
    </row>
    <row r="59" spans="1:18" x14ac:dyDescent="0.25">
      <c r="A59" s="213" t="s">
        <v>173</v>
      </c>
      <c r="B59" s="106">
        <f>'[3]Simulação Real Fechada'!B59/'[3]Simulação Dólar Fechada (US$)'!$A$1</f>
        <v>0</v>
      </c>
      <c r="C59" s="106">
        <f>'[3]Simulação Real Fechada'!C59/'[3]Simulação Dólar Fechada (US$)'!$A$1</f>
        <v>0</v>
      </c>
      <c r="D59" s="106">
        <f>'[3]Simulação Real Fechada'!D59/'[3]Simulação Dólar Fechada (US$)'!$A$1</f>
        <v>0</v>
      </c>
      <c r="F59" s="106">
        <f>'[3]Simulação Real Fechada'!N59/'[3]Simulação Dólar Fechada (US$)'!$A$1</f>
        <v>0</v>
      </c>
      <c r="G59" s="106">
        <f>'[3]Simulação Real Fechada'!O59/'[3]Simulação Dólar Fechada (US$)'!$A$1</f>
        <v>0</v>
      </c>
      <c r="H59" s="106">
        <f>'[3]Simulação Real Fechada'!X59/'[3]Simulação Dólar Fechada (US$)'!$A$1</f>
        <v>0</v>
      </c>
      <c r="I59" s="106">
        <f>'[3]Simulação Real Fechada'!Y59/'[3]Simulação Dólar Fechada (US$)'!$A$1</f>
        <v>0</v>
      </c>
      <c r="J59" s="106">
        <f>'[3]Simulação Real Fechada'!AH59/'[3]Simulação Dólar Fechada (US$)'!$A$1</f>
        <v>0</v>
      </c>
      <c r="K59" s="106">
        <f>'[3]Simulação Real Fechada'!AI59/'[3]Simulação Dólar Fechada (US$)'!$A$1</f>
        <v>0</v>
      </c>
      <c r="L59" s="106">
        <f>'[3]Simulação Real Fechada'!AR59/'[3]Simulação Dólar Fechada (US$)'!$A$1</f>
        <v>0</v>
      </c>
      <c r="M59" s="106">
        <f>'[3]Simulação Real Fechada'!AS59/'[3]Simulação Dólar Fechada (US$)'!$A$1</f>
        <v>0</v>
      </c>
      <c r="N59" s="106">
        <f>'[3]Simulação Real Fechada'!BB59/'[3]Simulação Dólar Fechada (US$)'!$A$1</f>
        <v>0</v>
      </c>
      <c r="O59" s="106">
        <f>'[3]Simulação Real Fechada'!BC59/'[3]Simulação Dólar Fechada (US$)'!$A$1</f>
        <v>0</v>
      </c>
      <c r="P59" s="106">
        <f>'[3]Simulação Real Fechada'!BD59/'[3]Simulação Dólar Fechada (US$)'!$A$1</f>
        <v>0</v>
      </c>
      <c r="Q59" s="106">
        <f>'[3]Simulação Real Fechada'!BE59/'[3]Simulação Dólar Fechada (US$)'!$A$1</f>
        <v>0</v>
      </c>
      <c r="R59" s="106">
        <f>'[3]Simulação Real Fechada'!BF59/'[3]Simulação Dólar Fechada (US$)'!$A$1</f>
        <v>0</v>
      </c>
    </row>
    <row r="60" spans="1:18" x14ac:dyDescent="0.25">
      <c r="A60" s="213" t="s">
        <v>174</v>
      </c>
      <c r="B60" s="106">
        <f>'[3]Simulação Real Fechada'!B60/'[3]Simulação Dólar Fechada (US$)'!$A$1</f>
        <v>0</v>
      </c>
      <c r="C60" s="106">
        <f>'[3]Simulação Real Fechada'!C60/'[3]Simulação Dólar Fechada (US$)'!$A$1</f>
        <v>0</v>
      </c>
      <c r="D60" s="106">
        <f>'[3]Simulação Real Fechada'!D60/'[3]Simulação Dólar Fechada (US$)'!$A$1</f>
        <v>0</v>
      </c>
      <c r="F60" s="106">
        <f>'[3]Simulação Real Fechada'!N60/'[3]Simulação Dólar Fechada (US$)'!$A$1</f>
        <v>0</v>
      </c>
      <c r="G60" s="106">
        <f>'[3]Simulação Real Fechada'!O60/'[3]Simulação Dólar Fechada (US$)'!$A$1</f>
        <v>0</v>
      </c>
      <c r="H60" s="106">
        <f>'[3]Simulação Real Fechada'!X60/'[3]Simulação Dólar Fechada (US$)'!$A$1</f>
        <v>0</v>
      </c>
      <c r="I60" s="106">
        <f>'[3]Simulação Real Fechada'!Y60/'[3]Simulação Dólar Fechada (US$)'!$A$1</f>
        <v>0</v>
      </c>
      <c r="J60" s="106">
        <f>'[3]Simulação Real Fechada'!AH60/'[3]Simulação Dólar Fechada (US$)'!$A$1</f>
        <v>0</v>
      </c>
      <c r="K60" s="106">
        <f>'[3]Simulação Real Fechada'!AI60/'[3]Simulação Dólar Fechada (US$)'!$A$1</f>
        <v>0</v>
      </c>
      <c r="L60" s="106">
        <f>'[3]Simulação Real Fechada'!AR60/'[3]Simulação Dólar Fechada (US$)'!$A$1</f>
        <v>0</v>
      </c>
      <c r="M60" s="106">
        <f>'[3]Simulação Real Fechada'!AS60/'[3]Simulação Dólar Fechada (US$)'!$A$1</f>
        <v>0</v>
      </c>
      <c r="N60" s="106">
        <f>'[3]Simulação Real Fechada'!BB60/'[3]Simulação Dólar Fechada (US$)'!$A$1</f>
        <v>0</v>
      </c>
      <c r="O60" s="106">
        <f>'[3]Simulação Real Fechada'!BC60/'[3]Simulação Dólar Fechada (US$)'!$A$1</f>
        <v>0</v>
      </c>
      <c r="P60" s="106">
        <f>'[3]Simulação Real Fechada'!BD60/'[3]Simulação Dólar Fechada (US$)'!$A$1</f>
        <v>0</v>
      </c>
      <c r="Q60" s="106">
        <f>'[3]Simulação Real Fechada'!BE60/'[3]Simulação Dólar Fechada (US$)'!$A$1</f>
        <v>0</v>
      </c>
      <c r="R60" s="106">
        <f>'[3]Simulação Real Fechada'!BF60/'[3]Simulação Dólar Fechada (US$)'!$A$1</f>
        <v>0</v>
      </c>
    </row>
    <row r="61" spans="1:18" x14ac:dyDescent="0.25">
      <c r="A61" s="110" t="s">
        <v>175</v>
      </c>
      <c r="B61" s="106">
        <f>'[3]Simulação Real Fechada'!B61/'[3]Simulação Dólar Fechada (US$)'!$A$1</f>
        <v>0</v>
      </c>
      <c r="C61" s="106">
        <f>'[3]Simulação Real Fechada'!C61/'[3]Simulação Dólar Fechada (US$)'!$A$1</f>
        <v>147058.82352941178</v>
      </c>
      <c r="D61" s="106">
        <f>'[3]Simulação Real Fechada'!D61/'[3]Simulação Dólar Fechada (US$)'!$A$1</f>
        <v>147058.82352941178</v>
      </c>
      <c r="F61" s="106">
        <f>'[3]Simulação Real Fechada'!N61/'[3]Simulação Dólar Fechada (US$)'!$A$1</f>
        <v>0</v>
      </c>
      <c r="G61" s="106">
        <f>'[3]Simulação Real Fechada'!O61/'[3]Simulação Dólar Fechada (US$)'!$A$1</f>
        <v>147058.82352941178</v>
      </c>
      <c r="H61" s="106">
        <f>'[3]Simulação Real Fechada'!X61/'[3]Simulação Dólar Fechada (US$)'!$A$1</f>
        <v>0</v>
      </c>
      <c r="I61" s="106">
        <f>'[3]Simulação Real Fechada'!Y61/'[3]Simulação Dólar Fechada (US$)'!$A$1</f>
        <v>0</v>
      </c>
      <c r="J61" s="106">
        <f>'[3]Simulação Real Fechada'!AH61/'[3]Simulação Dólar Fechada (US$)'!$A$1</f>
        <v>0</v>
      </c>
      <c r="K61" s="106">
        <f>'[3]Simulação Real Fechada'!AI61/'[3]Simulação Dólar Fechada (US$)'!$A$1</f>
        <v>0</v>
      </c>
      <c r="L61" s="106">
        <f>'[3]Simulação Real Fechada'!AR61/'[3]Simulação Dólar Fechada (US$)'!$A$1</f>
        <v>0</v>
      </c>
      <c r="M61" s="106">
        <f>'[3]Simulação Real Fechada'!AS61/'[3]Simulação Dólar Fechada (US$)'!$A$1</f>
        <v>0</v>
      </c>
      <c r="N61" s="106">
        <f>'[3]Simulação Real Fechada'!BB61/'[3]Simulação Dólar Fechada (US$)'!$A$1</f>
        <v>0</v>
      </c>
      <c r="O61" s="106">
        <f>'[3]Simulação Real Fechada'!BC61/'[3]Simulação Dólar Fechada (US$)'!$A$1</f>
        <v>0</v>
      </c>
      <c r="P61" s="106">
        <f>'[3]Simulação Real Fechada'!BD61/'[3]Simulação Dólar Fechada (US$)'!$A$1</f>
        <v>0</v>
      </c>
      <c r="Q61" s="106">
        <f>'[3]Simulação Real Fechada'!BE61/'[3]Simulação Dólar Fechada (US$)'!$A$1</f>
        <v>147058.82352941178</v>
      </c>
      <c r="R61" s="106">
        <f>'[3]Simulação Real Fechada'!BF61/'[3]Simulação Dólar Fechada (US$)'!$A$1</f>
        <v>147058.82352941178</v>
      </c>
    </row>
    <row r="62" spans="1:18" x14ac:dyDescent="0.25">
      <c r="A62" s="217" t="s">
        <v>176</v>
      </c>
      <c r="B62" s="106">
        <f>'[3]Simulação Real Fechada'!B62/'[3]Simulação Dólar Fechada (US$)'!$A$1</f>
        <v>0</v>
      </c>
      <c r="C62" s="106">
        <f>'[3]Simulação Real Fechada'!C62/'[3]Simulação Dólar Fechada (US$)'!$A$1</f>
        <v>122058.82352941176</v>
      </c>
      <c r="D62" s="106">
        <f>'[3]Simulação Real Fechada'!D62/'[3]Simulação Dólar Fechada (US$)'!$A$1</f>
        <v>122058.82352941176</v>
      </c>
      <c r="F62" s="106">
        <f>'[3]Simulação Real Fechada'!N62/'[3]Simulação Dólar Fechada (US$)'!$A$1</f>
        <v>0</v>
      </c>
      <c r="G62" s="106">
        <f>'[3]Simulação Real Fechada'!O62/'[3]Simulação Dólar Fechada (US$)'!$A$1</f>
        <v>122058.82352941176</v>
      </c>
      <c r="H62" s="106">
        <f>'[3]Simulação Real Fechada'!X62/'[3]Simulação Dólar Fechada (US$)'!$A$1</f>
        <v>0</v>
      </c>
      <c r="I62" s="106">
        <f>'[3]Simulação Real Fechada'!Y62/'[3]Simulação Dólar Fechada (US$)'!$A$1</f>
        <v>0</v>
      </c>
      <c r="J62" s="106">
        <f>'[3]Simulação Real Fechada'!AH62/'[3]Simulação Dólar Fechada (US$)'!$A$1</f>
        <v>0</v>
      </c>
      <c r="K62" s="106">
        <f>'[3]Simulação Real Fechada'!AI62/'[3]Simulação Dólar Fechada (US$)'!$A$1</f>
        <v>0</v>
      </c>
      <c r="L62" s="106">
        <f>'[3]Simulação Real Fechada'!AR62/'[3]Simulação Dólar Fechada (US$)'!$A$1</f>
        <v>0</v>
      </c>
      <c r="M62" s="106">
        <f>'[3]Simulação Real Fechada'!AS62/'[3]Simulação Dólar Fechada (US$)'!$A$1</f>
        <v>0</v>
      </c>
      <c r="N62" s="106">
        <f>'[3]Simulação Real Fechada'!BB62/'[3]Simulação Dólar Fechada (US$)'!$A$1</f>
        <v>0</v>
      </c>
      <c r="O62" s="106">
        <f>'[3]Simulação Real Fechada'!BC62/'[3]Simulação Dólar Fechada (US$)'!$A$1</f>
        <v>0</v>
      </c>
      <c r="P62" s="106">
        <f>'[3]Simulação Real Fechada'!BD62/'[3]Simulação Dólar Fechada (US$)'!$A$1</f>
        <v>0</v>
      </c>
      <c r="Q62" s="106">
        <f>'[3]Simulação Real Fechada'!BE62/'[3]Simulação Dólar Fechada (US$)'!$A$1</f>
        <v>122058.82352941176</v>
      </c>
      <c r="R62" s="106">
        <f>'[3]Simulação Real Fechada'!BF62/'[3]Simulação Dólar Fechada (US$)'!$A$1</f>
        <v>122058.82352941176</v>
      </c>
    </row>
    <row r="63" spans="1:18" x14ac:dyDescent="0.25">
      <c r="A63" s="162" t="s">
        <v>177</v>
      </c>
      <c r="B63" s="106">
        <f>'[3]Simulação Real Fechada'!B63/'[3]Simulação Dólar Fechada (US$)'!$A$1</f>
        <v>1901027.0588235294</v>
      </c>
      <c r="C63" s="106">
        <f>'[3]Simulação Real Fechada'!C63/'[3]Simulação Dólar Fechada (US$)'!$A$1</f>
        <v>0</v>
      </c>
      <c r="D63" s="106">
        <f>'[3]Simulação Real Fechada'!D63/'[3]Simulação Dólar Fechada (US$)'!$A$1</f>
        <v>1901027.0588235294</v>
      </c>
      <c r="F63" s="106">
        <f>'[3]Simulação Real Fechada'!N63/'[3]Simulação Dólar Fechada (US$)'!$A$1</f>
        <v>250174.4117647059</v>
      </c>
      <c r="G63" s="106">
        <f>'[3]Simulação Real Fechada'!O63/'[3]Simulação Dólar Fechada (US$)'!$A$1</f>
        <v>0</v>
      </c>
      <c r="H63" s="106">
        <f>'[3]Simulação Real Fechada'!X63/'[3]Simulação Dólar Fechada (US$)'!$A$1</f>
        <v>455988.23529411765</v>
      </c>
      <c r="I63" s="106">
        <f>'[3]Simulação Real Fechada'!Y63/'[3]Simulação Dólar Fechada (US$)'!$A$1</f>
        <v>0</v>
      </c>
      <c r="J63" s="106">
        <f>'[3]Simulação Real Fechada'!AH63/'[3]Simulação Dólar Fechada (US$)'!$A$1</f>
        <v>823529.4117647059</v>
      </c>
      <c r="K63" s="106">
        <f>'[3]Simulação Real Fechada'!AI63/'[3]Simulação Dólar Fechada (US$)'!$A$1</f>
        <v>0</v>
      </c>
      <c r="L63" s="106">
        <f>'[3]Simulação Real Fechada'!AR63/'[3]Simulação Dólar Fechada (US$)'!$A$1</f>
        <v>371335</v>
      </c>
      <c r="M63" s="106">
        <f>'[3]Simulação Real Fechada'!AS63/'[3]Simulação Dólar Fechada (US$)'!$A$1</f>
        <v>0</v>
      </c>
      <c r="N63" s="106">
        <f>'[3]Simulação Real Fechada'!BB63/'[3]Simulação Dólar Fechada (US$)'!$A$1</f>
        <v>0</v>
      </c>
      <c r="O63" s="106">
        <f>'[3]Simulação Real Fechada'!BC63/'[3]Simulação Dólar Fechada (US$)'!$A$1</f>
        <v>0</v>
      </c>
      <c r="P63" s="106">
        <f>'[3]Simulação Real Fechada'!BD63/'[3]Simulação Dólar Fechada (US$)'!$A$1</f>
        <v>1901027.0588235294</v>
      </c>
      <c r="Q63" s="106">
        <f>'[3]Simulação Real Fechada'!BE63/'[3]Simulação Dólar Fechada (US$)'!$A$1</f>
        <v>0</v>
      </c>
      <c r="R63" s="106">
        <f>'[3]Simulação Real Fechada'!BF63/'[3]Simulação Dólar Fechada (US$)'!$A$1</f>
        <v>1901027.0588235294</v>
      </c>
    </row>
    <row r="64" spans="1:18" x14ac:dyDescent="0.25">
      <c r="A64" s="170" t="s">
        <v>178</v>
      </c>
      <c r="B64" s="101">
        <f>'[3]Simulação Real Fechada'!B64/'[3]Simulação Dólar Fechada (US$)'!$A$1</f>
        <v>2082352.9411764706</v>
      </c>
      <c r="C64" s="101">
        <f>'[3]Simulação Real Fechada'!C64/'[3]Simulação Dólar Fechada (US$)'!$A$1</f>
        <v>1847058.8235294118</v>
      </c>
      <c r="D64" s="101">
        <f>'[3]Simulação Real Fechada'!D64/'[3]Simulação Dólar Fechada (US$)'!$A$1</f>
        <v>3929411.7647058824</v>
      </c>
      <c r="F64" s="101">
        <f>'[3]Simulação Real Fechada'!N64/'[3]Simulação Dólar Fechada (US$)'!$A$1</f>
        <v>788235.29411764711</v>
      </c>
      <c r="G64" s="101">
        <f>'[3]Simulação Real Fechada'!O64/'[3]Simulação Dólar Fechada (US$)'!$A$1</f>
        <v>1634742.6470588236</v>
      </c>
      <c r="H64" s="101">
        <f>'[3]Simulação Real Fechada'!X64/'[3]Simulação Dólar Fechada (US$)'!$A$1</f>
        <v>1294117.6470588236</v>
      </c>
      <c r="I64" s="101">
        <f>'[3]Simulação Real Fechada'!Y64/'[3]Simulação Dólar Fechada (US$)'!$A$1</f>
        <v>212316.17647058825</v>
      </c>
      <c r="J64" s="101">
        <f>'[3]Simulação Real Fechada'!AH64/'[3]Simulação Dólar Fechada (US$)'!$A$1</f>
        <v>0</v>
      </c>
      <c r="K64" s="101">
        <f>'[3]Simulação Real Fechada'!AI64/'[3]Simulação Dólar Fechada (US$)'!$A$1</f>
        <v>0</v>
      </c>
      <c r="L64" s="101">
        <f>'[3]Simulação Real Fechada'!AR64/'[3]Simulação Dólar Fechada (US$)'!$A$1</f>
        <v>0</v>
      </c>
      <c r="M64" s="101">
        <f>'[3]Simulação Real Fechada'!AS64/'[3]Simulação Dólar Fechada (US$)'!$A$1</f>
        <v>0</v>
      </c>
      <c r="N64" s="101">
        <f>'[3]Simulação Real Fechada'!BB64/'[3]Simulação Dólar Fechada (US$)'!$A$1</f>
        <v>0</v>
      </c>
      <c r="O64" s="101">
        <f>'[3]Simulação Real Fechada'!BC64/'[3]Simulação Dólar Fechada (US$)'!$A$1</f>
        <v>0</v>
      </c>
      <c r="P64" s="101">
        <f>'[3]Simulação Real Fechada'!BD64/'[3]Simulação Dólar Fechada (US$)'!$A$1</f>
        <v>2082352.9411764706</v>
      </c>
      <c r="Q64" s="101">
        <f>'[3]Simulação Real Fechada'!BE64/'[3]Simulação Dólar Fechada (US$)'!$A$1</f>
        <v>1847058.8235294118</v>
      </c>
      <c r="R64" s="101">
        <f>'[3]Simulação Real Fechada'!BF64/'[3]Simulação Dólar Fechada (US$)'!$A$1</f>
        <v>3929411.7647058824</v>
      </c>
    </row>
    <row r="65" spans="1:22" x14ac:dyDescent="0.25">
      <c r="A65" s="161" t="s">
        <v>179</v>
      </c>
      <c r="B65" s="106">
        <f>'[3]Simulação Real Fechada'!B65/'[3]Simulação Dólar Fechada (US$)'!$A$1</f>
        <v>200000</v>
      </c>
      <c r="C65" s="106">
        <f>'[3]Simulação Real Fechada'!C65/'[3]Simulação Dólar Fechada (US$)'!$A$1</f>
        <v>1847058.8235294118</v>
      </c>
      <c r="D65" s="106">
        <f>'[3]Simulação Real Fechada'!D65/'[3]Simulação Dólar Fechada (US$)'!$A$1</f>
        <v>2047058.8235294118</v>
      </c>
      <c r="F65" s="106">
        <f>'[3]Simulação Real Fechada'!N65/'[3]Simulação Dólar Fechada (US$)'!$A$1</f>
        <v>200000</v>
      </c>
      <c r="G65" s="106">
        <f>'[3]Simulação Real Fechada'!O65/'[3]Simulação Dólar Fechada (US$)'!$A$1</f>
        <v>1634742.6470588236</v>
      </c>
      <c r="H65" s="106">
        <f>'[3]Simulação Real Fechada'!X65/'[3]Simulação Dólar Fechada (US$)'!$A$1</f>
        <v>0</v>
      </c>
      <c r="I65" s="106">
        <f>'[3]Simulação Real Fechada'!Y65/'[3]Simulação Dólar Fechada (US$)'!$A$1</f>
        <v>212316.17647058825</v>
      </c>
      <c r="J65" s="106">
        <f>'[3]Simulação Real Fechada'!AH65/'[3]Simulação Dólar Fechada (US$)'!$A$1</f>
        <v>0</v>
      </c>
      <c r="K65" s="106">
        <f>'[3]Simulação Real Fechada'!AI65/'[3]Simulação Dólar Fechada (US$)'!$A$1</f>
        <v>0</v>
      </c>
      <c r="L65" s="106">
        <f>'[3]Simulação Real Fechada'!AR65/'[3]Simulação Dólar Fechada (US$)'!$A$1</f>
        <v>0</v>
      </c>
      <c r="M65" s="106">
        <f>'[3]Simulação Real Fechada'!AS65/'[3]Simulação Dólar Fechada (US$)'!$A$1</f>
        <v>0</v>
      </c>
      <c r="N65" s="106">
        <f>'[3]Simulação Real Fechada'!BB65/'[3]Simulação Dólar Fechada (US$)'!$A$1</f>
        <v>0</v>
      </c>
      <c r="O65" s="106">
        <f>'[3]Simulação Real Fechada'!BC65/'[3]Simulação Dólar Fechada (US$)'!$A$1</f>
        <v>0</v>
      </c>
      <c r="P65" s="106">
        <f>'[3]Simulação Real Fechada'!BD65/'[3]Simulação Dólar Fechada (US$)'!$A$1</f>
        <v>200000</v>
      </c>
      <c r="Q65" s="106">
        <f>'[3]Simulação Real Fechada'!BE65/'[3]Simulação Dólar Fechada (US$)'!$A$1</f>
        <v>1847058.8235294118</v>
      </c>
      <c r="R65" s="106">
        <f>'[3]Simulação Real Fechada'!BF65/'[3]Simulação Dólar Fechada (US$)'!$A$1</f>
        <v>2047058.8235294118</v>
      </c>
    </row>
    <row r="66" spans="1:22" x14ac:dyDescent="0.25">
      <c r="A66" s="161" t="s">
        <v>180</v>
      </c>
      <c r="B66" s="106">
        <f>'[3]Simulação Real Fechada'!B66/'[3]Simulação Dólar Fechada (US$)'!$A$1</f>
        <v>1882352.9411764706</v>
      </c>
      <c r="C66" s="106">
        <f>'[3]Simulação Real Fechada'!C66/'[3]Simulação Dólar Fechada (US$)'!$A$1</f>
        <v>0</v>
      </c>
      <c r="D66" s="106">
        <f>'[3]Simulação Real Fechada'!D66/'[3]Simulação Dólar Fechada (US$)'!$A$1</f>
        <v>1882352.9411764706</v>
      </c>
      <c r="F66" s="106">
        <f>'[3]Simulação Real Fechada'!N66/'[3]Simulação Dólar Fechada (US$)'!$A$1</f>
        <v>588235.29411764711</v>
      </c>
      <c r="G66" s="106">
        <f>'[3]Simulação Real Fechada'!O66/'[3]Simulação Dólar Fechada (US$)'!$A$1</f>
        <v>0</v>
      </c>
      <c r="H66" s="106">
        <f>'[3]Simulação Real Fechada'!X66/'[3]Simulação Dólar Fechada (US$)'!$A$1</f>
        <v>1294117.6470588236</v>
      </c>
      <c r="I66" s="106">
        <f>'[3]Simulação Real Fechada'!Y66/'[3]Simulação Dólar Fechada (US$)'!$A$1</f>
        <v>0</v>
      </c>
      <c r="J66" s="106">
        <f>'[3]Simulação Real Fechada'!AH66/'[3]Simulação Dólar Fechada (US$)'!$A$1</f>
        <v>0</v>
      </c>
      <c r="K66" s="106">
        <f>'[3]Simulação Real Fechada'!AI66/'[3]Simulação Dólar Fechada (US$)'!$A$1</f>
        <v>0</v>
      </c>
      <c r="L66" s="106">
        <f>'[3]Simulação Real Fechada'!AR66/'[3]Simulação Dólar Fechada (US$)'!$A$1</f>
        <v>0</v>
      </c>
      <c r="M66" s="106">
        <f>'[3]Simulação Real Fechada'!AS66/'[3]Simulação Dólar Fechada (US$)'!$A$1</f>
        <v>0</v>
      </c>
      <c r="N66" s="106">
        <f>'[3]Simulação Real Fechada'!BB66/'[3]Simulação Dólar Fechada (US$)'!$A$1</f>
        <v>0</v>
      </c>
      <c r="O66" s="106">
        <f>'[3]Simulação Real Fechada'!BC66/'[3]Simulação Dólar Fechada (US$)'!$A$1</f>
        <v>0</v>
      </c>
      <c r="P66" s="106">
        <f>'[3]Simulação Real Fechada'!BD66/'[3]Simulação Dólar Fechada (US$)'!$A$1</f>
        <v>1882352.9411764706</v>
      </c>
      <c r="Q66" s="106">
        <f>'[3]Simulação Real Fechada'!BE66/'[3]Simulação Dólar Fechada (US$)'!$A$1</f>
        <v>0</v>
      </c>
      <c r="R66" s="106">
        <f>'[3]Simulação Real Fechada'!BF66/'[3]Simulação Dólar Fechada (US$)'!$A$1</f>
        <v>1882352.9411764706</v>
      </c>
    </row>
    <row r="67" spans="1:22" x14ac:dyDescent="0.25">
      <c r="A67" s="176" t="s">
        <v>181</v>
      </c>
      <c r="B67" s="207">
        <f>'[3]Simulação Real Fechada'!B67/'[3]Simulação Dólar Fechada (US$)'!$A$1</f>
        <v>75200000.052941173</v>
      </c>
      <c r="C67" s="207">
        <f>'[3]Simulação Real Fechada'!C67/'[3]Simulação Dólar Fechada (US$)'!$A$1</f>
        <v>75199999.911176473</v>
      </c>
      <c r="D67" s="207">
        <f>'[3]Simulação Real Fechada'!D67/'[3]Simulação Dólar Fechada (US$)'!$A$1</f>
        <v>150399999.96411765</v>
      </c>
      <c r="F67" s="207">
        <f>'[3]Simulação Real Fechada'!N67/'[3]Simulação Dólar Fechada (US$)'!$A$1</f>
        <v>21635804.552941177</v>
      </c>
      <c r="G67" s="207">
        <f>'[3]Simulação Real Fechada'!O67/'[3]Simulação Dólar Fechada (US$)'!$A$1</f>
        <v>31044098.905294117</v>
      </c>
      <c r="H67" s="207">
        <f>'[3]Simulação Real Fechada'!X67/'[3]Simulação Dólar Fechada (US$)'!$A$1</f>
        <v>32435830.511764709</v>
      </c>
      <c r="I67" s="207">
        <f>'[3]Simulação Real Fechada'!Y67/'[3]Simulação Dólar Fechada (US$)'!$A$1</f>
        <v>15234928.991176471</v>
      </c>
      <c r="J67" s="207">
        <f>'[3]Simulação Real Fechada'!AH67/'[3]Simulação Dólar Fechada (US$)'!$A$1</f>
        <v>16098153.773529412</v>
      </c>
      <c r="K67" s="207">
        <f>'[3]Simulação Real Fechada'!AI67/'[3]Simulação Dólar Fechada (US$)'!$A$1</f>
        <v>28920972.014705881</v>
      </c>
      <c r="L67" s="207">
        <f>'[3]Simulação Real Fechada'!AR67/'[3]Simulação Dólar Fechada (US$)'!$A$1</f>
        <v>3363490.8823529412</v>
      </c>
      <c r="M67" s="207">
        <f>'[3]Simulação Real Fechada'!AS67/'[3]Simulação Dólar Fechada (US$)'!$A$1</f>
        <v>0</v>
      </c>
      <c r="N67" s="207">
        <f>'[3]Simulação Real Fechada'!BB67/'[3]Simulação Dólar Fechada (US$)'!$A$1</f>
        <v>1666720.294117647</v>
      </c>
      <c r="O67" s="207">
        <f>'[3]Simulação Real Fechada'!BC67/'[3]Simulação Dólar Fechada (US$)'!$A$1</f>
        <v>0</v>
      </c>
      <c r="P67" s="207">
        <f>'[3]Simulação Real Fechada'!BD67/'[3]Simulação Dólar Fechada (US$)'!$A$1</f>
        <v>75200000.014705881</v>
      </c>
      <c r="Q67" s="207">
        <f>'[3]Simulação Real Fechada'!BE67/'[3]Simulação Dólar Fechada (US$)'!$A$1</f>
        <v>75199999.911176473</v>
      </c>
      <c r="R67" s="207">
        <f>'[3]Simulação Real Fechada'!BF67/'[3]Simulação Dólar Fechada (US$)'!$A$1</f>
        <v>150399999.92588234</v>
      </c>
    </row>
    <row r="68" spans="1:22" x14ac:dyDescent="0.25">
      <c r="A68" s="178" t="s">
        <v>182</v>
      </c>
      <c r="B68" s="101">
        <f>'[3]Simulação Real Fechada'!B68/'[3]Simulação Dólar Fechada (US$)'!$A$1</f>
        <v>75200000</v>
      </c>
      <c r="C68" s="101">
        <f>'[3]Simulação Real Fechada'!C68/'[3]Simulação Dólar Fechada (US$)'!$A$1</f>
        <v>75200000</v>
      </c>
      <c r="D68" s="101">
        <f>'[3]Simulação Real Fechada'!D68/'[3]Simulação Dólar Fechada (US$)'!$A$1</f>
        <v>150400000</v>
      </c>
    </row>
    <row r="70" spans="1:22" x14ac:dyDescent="0.25">
      <c r="A70" s="303" t="s">
        <v>328</v>
      </c>
      <c r="B70" s="304"/>
      <c r="C70" s="305"/>
      <c r="D70" s="306" t="s">
        <v>330</v>
      </c>
      <c r="E70" s="307"/>
      <c r="F70" s="313">
        <f>SUM(F67:G67)</f>
        <v>52679903.458235294</v>
      </c>
      <c r="G70" s="308" t="s">
        <v>329</v>
      </c>
      <c r="H70" s="307">
        <f>D68</f>
        <v>150400000</v>
      </c>
      <c r="I70" s="314" t="s">
        <v>330</v>
      </c>
      <c r="J70" s="315">
        <f>F70/H70</f>
        <v>0.3502653155467772</v>
      </c>
      <c r="K70" s="309"/>
      <c r="L70" s="309"/>
      <c r="M70" s="309"/>
      <c r="N70" s="309"/>
      <c r="O70" s="309"/>
      <c r="P70" s="310"/>
      <c r="Q70" s="309"/>
      <c r="R70" s="311"/>
      <c r="S70" s="309"/>
      <c r="T70" s="310"/>
      <c r="U70" s="309"/>
      <c r="V70" s="312"/>
    </row>
  </sheetData>
  <mergeCells count="15">
    <mergeCell ref="A70:C70"/>
    <mergeCell ref="P1:R1"/>
    <mergeCell ref="A2:A3"/>
    <mergeCell ref="B2:D2"/>
    <mergeCell ref="F2:G2"/>
    <mergeCell ref="H2:I2"/>
    <mergeCell ref="J2:K2"/>
    <mergeCell ref="L2:M2"/>
    <mergeCell ref="N2:O2"/>
    <mergeCell ref="B1:D1"/>
    <mergeCell ref="F1:G1"/>
    <mergeCell ref="H1:I1"/>
    <mergeCell ref="J1:K1"/>
    <mergeCell ref="L1:M1"/>
    <mergeCell ref="N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354"/>
  <sheetViews>
    <sheetView showGridLines="0" zoomScale="80" zoomScaleNormal="80" zoomScalePageLayoutView="70" workbookViewId="0">
      <pane xSplit="3" ySplit="2" topLeftCell="P63" activePane="bottomRight" state="frozen"/>
      <selection pane="topRight" activeCell="D1" sqref="D1"/>
      <selection pane="bottomLeft" activeCell="A3" sqref="A3"/>
      <selection pane="bottomRight" activeCell="X102" sqref="X102"/>
    </sheetView>
  </sheetViews>
  <sheetFormatPr defaultColWidth="9.140625" defaultRowHeight="12.75" x14ac:dyDescent="0.2"/>
  <cols>
    <col min="1" max="1" width="8.85546875" style="1" customWidth="1"/>
    <col min="2" max="2" width="11.42578125" style="1" customWidth="1"/>
    <col min="3" max="3" width="43.42578125" style="1" customWidth="1"/>
    <col min="4" max="4" width="14.85546875" style="2" hidden="1" customWidth="1"/>
    <col min="5" max="5" width="8.85546875" style="1" hidden="1" customWidth="1"/>
    <col min="6" max="6" width="1" style="3" hidden="1" customWidth="1"/>
    <col min="7" max="7" width="8.85546875" style="1" hidden="1" customWidth="1"/>
    <col min="8" max="8" width="11.85546875" style="1" hidden="1" customWidth="1"/>
    <col min="9" max="9" width="14.85546875" style="1" hidden="1" customWidth="1"/>
    <col min="10" max="10" width="2.42578125" style="3" hidden="1" customWidth="1"/>
    <col min="11" max="15" width="8.85546875" style="1" hidden="1" customWidth="1"/>
    <col min="16" max="16" width="1.28515625" style="3" customWidth="1"/>
    <col min="17" max="17" width="22.5703125" style="12" customWidth="1"/>
    <col min="18" max="18" width="18.140625" style="12" customWidth="1"/>
    <col min="19" max="19" width="17" style="12" customWidth="1"/>
    <col min="20" max="20" width="2.42578125" style="3" customWidth="1"/>
    <col min="21" max="22" width="12.7109375" style="4" customWidth="1"/>
    <col min="23" max="23" width="13.85546875" style="4" customWidth="1"/>
    <col min="24" max="25" width="12.7109375" style="4" customWidth="1"/>
    <col min="26" max="26" width="12.7109375" style="3" customWidth="1"/>
    <col min="27" max="27" width="12.7109375" style="1" customWidth="1"/>
    <col min="28" max="30" width="12.7109375" style="12" customWidth="1"/>
    <col min="31" max="31" width="12.7109375" style="32" customWidth="1"/>
    <col min="32" max="32" width="12.7109375" style="1" customWidth="1"/>
    <col min="33" max="33" width="2.42578125" style="3" customWidth="1"/>
    <col min="34" max="35" width="9.140625" style="1"/>
    <col min="36" max="36" width="13.5703125" style="1" bestFit="1" customWidth="1"/>
    <col min="37" max="37" width="9.140625" style="1"/>
    <col min="38" max="38" width="13.5703125" style="1" bestFit="1" customWidth="1"/>
    <col min="39" max="40" width="9.140625" style="1"/>
    <col min="41" max="41" width="10.140625" style="1" bestFit="1" customWidth="1"/>
    <col min="42" max="16384" width="9.140625" style="1"/>
  </cols>
  <sheetData>
    <row r="1" spans="1:52" s="35" customFormat="1" ht="24.75" customHeight="1" x14ac:dyDescent="0.25">
      <c r="A1" s="292"/>
      <c r="B1" s="293"/>
      <c r="C1" s="293"/>
      <c r="D1" s="24"/>
      <c r="E1" s="24"/>
      <c r="F1" s="24"/>
      <c r="G1" s="37" t="s">
        <v>21</v>
      </c>
      <c r="H1" s="24"/>
      <c r="I1" s="24"/>
      <c r="J1" s="24"/>
      <c r="K1" s="37" t="s">
        <v>12</v>
      </c>
      <c r="L1" s="24"/>
      <c r="M1" s="24"/>
      <c r="N1" s="24"/>
      <c r="O1" s="24"/>
      <c r="Q1" s="52"/>
      <c r="R1" s="52"/>
      <c r="S1" s="52"/>
      <c r="T1" s="37"/>
      <c r="U1" s="37" t="s">
        <v>13</v>
      </c>
      <c r="V1" s="2"/>
      <c r="W1" s="291"/>
      <c r="X1" s="291"/>
      <c r="Y1" s="24"/>
      <c r="Z1" s="2"/>
      <c r="AA1" s="2"/>
      <c r="AB1" s="2"/>
      <c r="AC1" s="2"/>
      <c r="AD1" s="2"/>
      <c r="AE1" s="2"/>
      <c r="AF1" s="2"/>
      <c r="AG1" s="37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2" s="8" customFormat="1" ht="25.5" x14ac:dyDescent="0.2">
      <c r="A2" s="19" t="s">
        <v>0</v>
      </c>
      <c r="B2" s="19" t="s">
        <v>3</v>
      </c>
      <c r="C2" s="20" t="s">
        <v>4</v>
      </c>
      <c r="D2" s="19" t="s">
        <v>5</v>
      </c>
      <c r="E2" s="19" t="s">
        <v>6</v>
      </c>
      <c r="F2" s="23"/>
      <c r="G2" s="19" t="s">
        <v>14</v>
      </c>
      <c r="H2" s="19" t="s">
        <v>19</v>
      </c>
      <c r="I2" s="19" t="s">
        <v>20</v>
      </c>
      <c r="J2" s="23"/>
      <c r="K2" s="19" t="s">
        <v>22</v>
      </c>
      <c r="L2" s="19" t="s">
        <v>23</v>
      </c>
      <c r="M2" s="19" t="s">
        <v>24</v>
      </c>
      <c r="N2" s="19" t="s">
        <v>25</v>
      </c>
      <c r="O2" s="19" t="s">
        <v>26</v>
      </c>
      <c r="P2" s="23"/>
      <c r="Q2" s="21" t="s">
        <v>17</v>
      </c>
      <c r="R2" s="21" t="s">
        <v>7</v>
      </c>
      <c r="S2" s="87" t="s">
        <v>18</v>
      </c>
      <c r="T2" s="23"/>
      <c r="U2" s="22" t="s">
        <v>54</v>
      </c>
      <c r="V2" s="85" t="s">
        <v>212</v>
      </c>
      <c r="W2" s="54" t="s">
        <v>55</v>
      </c>
      <c r="X2" s="86" t="s">
        <v>56</v>
      </c>
      <c r="Y2" s="54" t="s">
        <v>57</v>
      </c>
      <c r="Z2" s="85" t="s">
        <v>58</v>
      </c>
      <c r="AA2" s="22" t="s">
        <v>59</v>
      </c>
      <c r="AB2" s="86" t="s">
        <v>60</v>
      </c>
      <c r="AC2" s="22" t="s">
        <v>215</v>
      </c>
      <c r="AD2" s="86" t="s">
        <v>213</v>
      </c>
      <c r="AE2" s="22" t="s">
        <v>214</v>
      </c>
      <c r="AF2" s="86" t="s">
        <v>216</v>
      </c>
      <c r="AG2" s="23"/>
    </row>
    <row r="3" spans="1:52" s="39" customFormat="1" ht="15" x14ac:dyDescent="0.25">
      <c r="A3" s="9">
        <v>1</v>
      </c>
      <c r="B3" s="9" t="s">
        <v>1</v>
      </c>
      <c r="C3" s="9" t="e">
        <f>#REF!</f>
        <v>#REF!</v>
      </c>
      <c r="D3" s="10"/>
      <c r="E3" s="11"/>
      <c r="F3" s="24"/>
      <c r="G3" s="11"/>
      <c r="H3" s="11"/>
      <c r="I3" s="11"/>
      <c r="J3" s="24"/>
      <c r="K3" s="11"/>
      <c r="L3" s="11"/>
      <c r="M3" s="11"/>
      <c r="N3" s="11"/>
      <c r="O3" s="11"/>
      <c r="P3" s="24"/>
      <c r="Q3" s="71">
        <f>Q4+Q8+Q9+Q37+Q57+Q76+Q78+Q81+Q84+Q88+Q91</f>
        <v>94216515.650650159</v>
      </c>
      <c r="R3" s="71">
        <f>R4+R8+R9+R37+R57+R76+R78+R81+R84+R88+R91</f>
        <v>20935000</v>
      </c>
      <c r="S3" s="71">
        <f>S4+S8+S9+S37+S57+S76+S78+S81+S84+S88+S91</f>
        <v>73281515.650650159</v>
      </c>
      <c r="T3" s="24"/>
      <c r="U3" s="71"/>
      <c r="V3" s="241"/>
      <c r="W3" s="254"/>
      <c r="X3" s="241"/>
      <c r="Y3" s="254"/>
      <c r="Z3" s="243"/>
      <c r="AA3" s="254"/>
      <c r="AB3" s="243"/>
      <c r="AC3" s="254"/>
      <c r="AD3" s="243"/>
      <c r="AE3" s="254"/>
      <c r="AF3" s="243"/>
      <c r="AG3" s="24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2" s="39" customFormat="1" ht="25.5" x14ac:dyDescent="0.25">
      <c r="A4" s="62">
        <v>1.01</v>
      </c>
      <c r="B4" s="62" t="s">
        <v>27</v>
      </c>
      <c r="C4" s="63" t="s">
        <v>217</v>
      </c>
      <c r="D4" s="64"/>
      <c r="E4" s="64"/>
      <c r="F4" s="66"/>
      <c r="G4" s="65"/>
      <c r="H4" s="65"/>
      <c r="I4" s="65"/>
      <c r="J4" s="66"/>
      <c r="K4" s="65"/>
      <c r="L4" s="65"/>
      <c r="M4" s="65"/>
      <c r="N4" s="65"/>
      <c r="O4" s="65"/>
      <c r="P4" s="66"/>
      <c r="Q4" s="72">
        <f>SUM(Q5:Q7)</f>
        <v>21002256.580000002</v>
      </c>
      <c r="R4" s="72">
        <f>SUM(R5:R7)</f>
        <v>367647</v>
      </c>
      <c r="S4" s="72">
        <f>SUM(S5:S7)</f>
        <v>20634609.580000002</v>
      </c>
      <c r="T4" s="24"/>
      <c r="U4" s="73"/>
      <c r="V4" s="240"/>
      <c r="W4" s="255"/>
      <c r="X4" s="240"/>
      <c r="Y4" s="255"/>
      <c r="Z4" s="240"/>
      <c r="AA4" s="255"/>
      <c r="AB4" s="240"/>
      <c r="AC4" s="255"/>
      <c r="AD4" s="240"/>
      <c r="AE4" s="255"/>
      <c r="AF4" s="240"/>
      <c r="AG4" s="24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2" s="39" customFormat="1" ht="25.5" x14ac:dyDescent="0.25">
      <c r="A5" s="28" t="s">
        <v>28</v>
      </c>
      <c r="B5" s="28" t="s">
        <v>11</v>
      </c>
      <c r="C5" s="28" t="s">
        <v>241</v>
      </c>
      <c r="D5" s="29"/>
      <c r="E5" s="18"/>
      <c r="F5" s="30"/>
      <c r="G5" s="18"/>
      <c r="H5" s="18"/>
      <c r="I5" s="18"/>
      <c r="J5" s="30"/>
      <c r="K5" s="18"/>
      <c r="L5" s="18"/>
      <c r="M5" s="18"/>
      <c r="N5" s="18"/>
      <c r="O5" s="18"/>
      <c r="P5" s="30"/>
      <c r="Q5" s="69">
        <f>R5+S5</f>
        <v>367647</v>
      </c>
      <c r="R5" s="69">
        <v>367647</v>
      </c>
      <c r="S5" s="69">
        <v>0</v>
      </c>
      <c r="T5" s="30"/>
      <c r="U5" s="76"/>
      <c r="V5" s="239"/>
      <c r="W5" s="76">
        <v>40000</v>
      </c>
      <c r="X5" s="239"/>
      <c r="Y5" s="76">
        <v>93000</v>
      </c>
      <c r="Z5" s="239"/>
      <c r="AA5" s="77">
        <v>106000</v>
      </c>
      <c r="AB5" s="239"/>
      <c r="AC5" s="77">
        <v>128647</v>
      </c>
      <c r="AD5" s="239"/>
      <c r="AE5" s="77"/>
      <c r="AF5" s="239"/>
      <c r="AG5" s="30"/>
    </row>
    <row r="6" spans="1:52" s="39" customFormat="1" ht="25.5" x14ac:dyDescent="0.25">
      <c r="A6" s="28" t="s">
        <v>29</v>
      </c>
      <c r="B6" s="28" t="s">
        <v>11</v>
      </c>
      <c r="C6" s="28" t="s">
        <v>318</v>
      </c>
      <c r="D6" s="29"/>
      <c r="E6" s="18"/>
      <c r="F6" s="30"/>
      <c r="G6" s="18"/>
      <c r="H6" s="18"/>
      <c r="I6" s="18"/>
      <c r="J6" s="30"/>
      <c r="K6" s="18"/>
      <c r="L6" s="18"/>
      <c r="M6" s="18"/>
      <c r="N6" s="18"/>
      <c r="O6" s="18"/>
      <c r="P6" s="30"/>
      <c r="Q6" s="69">
        <f>R6+S6</f>
        <v>3981361.8899999997</v>
      </c>
      <c r="R6" s="69">
        <v>0</v>
      </c>
      <c r="S6" s="69">
        <f>SUM(X6:AB6)</f>
        <v>3981361.8899999997</v>
      </c>
      <c r="T6" s="30"/>
      <c r="U6" s="69"/>
      <c r="V6" s="239"/>
      <c r="W6" s="77"/>
      <c r="X6" s="239">
        <v>453319.25</v>
      </c>
      <c r="Y6" s="77"/>
      <c r="Z6" s="239">
        <v>1814111.84</v>
      </c>
      <c r="AA6" s="77"/>
      <c r="AB6" s="239">
        <v>1713930.8</v>
      </c>
      <c r="AC6" s="77"/>
      <c r="AD6" s="239">
        <v>215536.58</v>
      </c>
      <c r="AE6" s="77"/>
      <c r="AF6" s="239"/>
      <c r="AG6" s="30"/>
    </row>
    <row r="7" spans="1:52" s="39" customFormat="1" ht="25.5" x14ac:dyDescent="0.25">
      <c r="A7" s="28" t="s">
        <v>315</v>
      </c>
      <c r="B7" s="28" t="s">
        <v>11</v>
      </c>
      <c r="C7" s="28" t="s">
        <v>319</v>
      </c>
      <c r="D7" s="29"/>
      <c r="E7" s="18"/>
      <c r="F7" s="30"/>
      <c r="G7" s="18"/>
      <c r="H7" s="18"/>
      <c r="I7" s="18"/>
      <c r="J7" s="30"/>
      <c r="K7" s="18"/>
      <c r="L7" s="18"/>
      <c r="M7" s="18"/>
      <c r="N7" s="18"/>
      <c r="O7" s="18"/>
      <c r="P7" s="30"/>
      <c r="Q7" s="69">
        <f>R7+S7</f>
        <v>16653247.690000001</v>
      </c>
      <c r="R7" s="69">
        <v>0</v>
      </c>
      <c r="S7" s="69">
        <f>SUM(X7:AB7)</f>
        <v>16653247.690000001</v>
      </c>
      <c r="T7" s="30"/>
      <c r="U7" s="81"/>
      <c r="V7" s="239"/>
      <c r="W7" s="251"/>
      <c r="X7" s="239">
        <v>1896144.58</v>
      </c>
      <c r="Y7" s="251"/>
      <c r="Z7" s="239">
        <v>7588070.29</v>
      </c>
      <c r="AA7" s="251"/>
      <c r="AB7" s="239">
        <v>7169032.8200000003</v>
      </c>
      <c r="AC7" s="251"/>
      <c r="AD7" s="239">
        <v>901546.8</v>
      </c>
      <c r="AE7" s="251"/>
      <c r="AF7" s="239"/>
      <c r="AG7" s="30"/>
    </row>
    <row r="8" spans="1:52" s="39" customFormat="1" ht="25.5" x14ac:dyDescent="0.25">
      <c r="A8" s="62">
        <v>1.02</v>
      </c>
      <c r="B8" s="62" t="s">
        <v>27</v>
      </c>
      <c r="C8" s="63" t="s">
        <v>218</v>
      </c>
      <c r="D8" s="64"/>
      <c r="E8" s="65"/>
      <c r="F8" s="66"/>
      <c r="G8" s="65"/>
      <c r="H8" s="65"/>
      <c r="I8" s="65"/>
      <c r="J8" s="66"/>
      <c r="K8" s="65"/>
      <c r="L8" s="65"/>
      <c r="M8" s="65"/>
      <c r="N8" s="65"/>
      <c r="O8" s="65"/>
      <c r="P8" s="66"/>
      <c r="Q8" s="72">
        <f>R8+S8</f>
        <v>15393226</v>
      </c>
      <c r="R8" s="72">
        <v>11400227</v>
      </c>
      <c r="S8" s="72">
        <v>3992999</v>
      </c>
      <c r="T8" s="24"/>
      <c r="U8" s="73"/>
      <c r="V8" s="240"/>
      <c r="W8" s="255">
        <v>11400227</v>
      </c>
      <c r="X8" s="240"/>
      <c r="Y8" s="255"/>
      <c r="Z8" s="240">
        <v>3992999</v>
      </c>
      <c r="AA8" s="255"/>
      <c r="AB8" s="240"/>
      <c r="AC8" s="255"/>
      <c r="AD8" s="240"/>
      <c r="AE8" s="255"/>
      <c r="AF8" s="240"/>
      <c r="AG8" s="24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1:52" s="39" customFormat="1" ht="15" x14ac:dyDescent="0.25">
      <c r="A9" s="62">
        <v>1.03</v>
      </c>
      <c r="B9" s="62" t="s">
        <v>27</v>
      </c>
      <c r="C9" s="63" t="s">
        <v>219</v>
      </c>
      <c r="D9" s="64"/>
      <c r="E9" s="65"/>
      <c r="F9" s="66"/>
      <c r="G9" s="65"/>
      <c r="H9" s="65"/>
      <c r="I9" s="65"/>
      <c r="J9" s="66"/>
      <c r="K9" s="65"/>
      <c r="L9" s="65"/>
      <c r="M9" s="65"/>
      <c r="N9" s="65"/>
      <c r="O9" s="65"/>
      <c r="P9" s="66"/>
      <c r="Q9" s="72">
        <f>Q10+Q17</f>
        <v>35745394.827894732</v>
      </c>
      <c r="R9" s="72">
        <f>R10+R17</f>
        <v>0</v>
      </c>
      <c r="S9" s="72">
        <f>S10+S17</f>
        <v>35745394.827894732</v>
      </c>
      <c r="T9" s="24"/>
      <c r="U9" s="73"/>
      <c r="V9" s="240"/>
      <c r="W9" s="255"/>
      <c r="X9" s="240"/>
      <c r="Y9" s="255"/>
      <c r="Z9" s="240"/>
      <c r="AA9" s="255"/>
      <c r="AB9" s="240"/>
      <c r="AC9" s="255"/>
      <c r="AD9" s="240"/>
      <c r="AE9" s="255"/>
      <c r="AF9" s="240"/>
      <c r="AG9" s="24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1:52" s="39" customFormat="1" ht="25.5" x14ac:dyDescent="0.25">
      <c r="A10" s="31" t="s">
        <v>30</v>
      </c>
      <c r="B10" s="49" t="s">
        <v>8</v>
      </c>
      <c r="C10" s="31" t="s">
        <v>228</v>
      </c>
      <c r="D10" s="51"/>
      <c r="E10" s="13"/>
      <c r="F10" s="24"/>
      <c r="G10" s="13"/>
      <c r="H10" s="13"/>
      <c r="I10" s="13"/>
      <c r="J10" s="24"/>
      <c r="K10" s="13"/>
      <c r="L10" s="13"/>
      <c r="M10" s="13"/>
      <c r="N10" s="13"/>
      <c r="O10" s="13"/>
      <c r="P10" s="24"/>
      <c r="Q10" s="67">
        <f>SUM(Q11:Q16)</f>
        <v>15865873.290000001</v>
      </c>
      <c r="R10" s="67">
        <f>SUM(R11:R16)</f>
        <v>0</v>
      </c>
      <c r="S10" s="67">
        <f>SUM(S11:S16)</f>
        <v>15865873.290000001</v>
      </c>
      <c r="T10" s="24"/>
      <c r="U10" s="67"/>
      <c r="V10" s="238"/>
      <c r="W10" s="256"/>
      <c r="X10" s="238"/>
      <c r="Y10" s="256"/>
      <c r="Z10" s="238"/>
      <c r="AA10" s="256"/>
      <c r="AB10" s="238"/>
      <c r="AC10" s="256"/>
      <c r="AD10" s="238"/>
      <c r="AE10" s="256"/>
      <c r="AF10" s="238"/>
      <c r="AG10" s="24"/>
    </row>
    <row r="11" spans="1:52" s="39" customFormat="1" ht="25.5" x14ac:dyDescent="0.25">
      <c r="A11" s="28" t="s">
        <v>31</v>
      </c>
      <c r="B11" s="28" t="s">
        <v>11</v>
      </c>
      <c r="C11" s="28" t="s">
        <v>245</v>
      </c>
      <c r="D11" s="29"/>
      <c r="E11" s="18"/>
      <c r="F11" s="30"/>
      <c r="G11" s="18"/>
      <c r="H11" s="18"/>
      <c r="I11" s="18"/>
      <c r="J11" s="30"/>
      <c r="K11" s="18"/>
      <c r="L11" s="18"/>
      <c r="M11" s="18"/>
      <c r="N11" s="18"/>
      <c r="O11" s="18"/>
      <c r="P11" s="30"/>
      <c r="Q11" s="69">
        <f t="shared" ref="Q11:Q16" si="0">R11+S11</f>
        <v>291824.23</v>
      </c>
      <c r="R11" s="69">
        <v>0</v>
      </c>
      <c r="S11" s="69">
        <f>SUM(V11)</f>
        <v>291824.23</v>
      </c>
      <c r="T11" s="30"/>
      <c r="U11" s="69"/>
      <c r="V11" s="239">
        <v>291824.23</v>
      </c>
      <c r="W11" s="77"/>
      <c r="X11" s="239"/>
      <c r="Y11" s="77"/>
      <c r="Z11" s="239"/>
      <c r="AA11" s="77"/>
      <c r="AB11" s="239"/>
      <c r="AC11" s="77"/>
      <c r="AD11" s="239"/>
      <c r="AE11" s="77"/>
      <c r="AF11" s="239"/>
      <c r="AG11" s="30"/>
    </row>
    <row r="12" spans="1:52" s="39" customFormat="1" ht="25.5" x14ac:dyDescent="0.25">
      <c r="A12" s="28" t="s">
        <v>32</v>
      </c>
      <c r="B12" s="28" t="s">
        <v>11</v>
      </c>
      <c r="C12" s="28" t="s">
        <v>268</v>
      </c>
      <c r="D12" s="29"/>
      <c r="E12" s="18"/>
      <c r="F12" s="24"/>
      <c r="G12" s="18"/>
      <c r="H12" s="18"/>
      <c r="I12" s="18"/>
      <c r="J12" s="24"/>
      <c r="K12" s="18"/>
      <c r="L12" s="18"/>
      <c r="M12" s="18"/>
      <c r="N12" s="18"/>
      <c r="O12" s="18"/>
      <c r="P12" s="24"/>
      <c r="Q12" s="69">
        <f t="shared" si="0"/>
        <v>2630475.23</v>
      </c>
      <c r="R12" s="69">
        <v>0</v>
      </c>
      <c r="S12" s="69">
        <f>SUM(V12+X12)</f>
        <v>2630475.23</v>
      </c>
      <c r="T12" s="24"/>
      <c r="U12" s="69"/>
      <c r="V12" s="239">
        <v>1258581.74</v>
      </c>
      <c r="W12" s="77"/>
      <c r="X12" s="239">
        <v>1371893.49</v>
      </c>
      <c r="Y12" s="77"/>
      <c r="Z12" s="239"/>
      <c r="AA12" s="77"/>
      <c r="AB12" s="239"/>
      <c r="AC12" s="77"/>
      <c r="AD12" s="239"/>
      <c r="AE12" s="77"/>
      <c r="AF12" s="239"/>
      <c r="AG12" s="24"/>
      <c r="AL12" s="280"/>
    </row>
    <row r="13" spans="1:52" s="39" customFormat="1" ht="15" x14ac:dyDescent="0.25">
      <c r="A13" s="28" t="s">
        <v>33</v>
      </c>
      <c r="B13" s="28" t="s">
        <v>11</v>
      </c>
      <c r="C13" s="28" t="s">
        <v>270</v>
      </c>
      <c r="D13" s="29"/>
      <c r="E13" s="18"/>
      <c r="F13" s="30"/>
      <c r="G13" s="18"/>
      <c r="H13" s="18"/>
      <c r="I13" s="18"/>
      <c r="J13" s="30"/>
      <c r="K13" s="18"/>
      <c r="L13" s="18"/>
      <c r="M13" s="18"/>
      <c r="N13" s="18"/>
      <c r="O13" s="18"/>
      <c r="P13" s="30"/>
      <c r="Q13" s="69">
        <f t="shared" si="0"/>
        <v>2869145.38</v>
      </c>
      <c r="R13" s="69">
        <v>0</v>
      </c>
      <c r="S13" s="69">
        <f>SUM(V13+X13)</f>
        <v>2869145.38</v>
      </c>
      <c r="T13" s="30"/>
      <c r="U13" s="69"/>
      <c r="V13" s="239">
        <v>455079.98</v>
      </c>
      <c r="W13" s="77"/>
      <c r="X13" s="239">
        <v>2414065.4</v>
      </c>
      <c r="Y13" s="77"/>
      <c r="Z13" s="239"/>
      <c r="AA13" s="77"/>
      <c r="AB13" s="239"/>
      <c r="AC13" s="77"/>
      <c r="AD13" s="239"/>
      <c r="AE13" s="77"/>
      <c r="AF13" s="239"/>
      <c r="AG13" s="30"/>
      <c r="AJ13" s="280"/>
    </row>
    <row r="14" spans="1:52" s="39" customFormat="1" ht="15" x14ac:dyDescent="0.25">
      <c r="A14" s="236" t="s">
        <v>267</v>
      </c>
      <c r="B14" s="236" t="s">
        <v>11</v>
      </c>
      <c r="C14" s="236" t="s">
        <v>260</v>
      </c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7">
        <f t="shared" si="0"/>
        <v>2530898.08</v>
      </c>
      <c r="R14" s="237">
        <v>0</v>
      </c>
      <c r="S14" s="237">
        <f>SUM(V14)</f>
        <v>2530898.08</v>
      </c>
      <c r="T14" s="24"/>
      <c r="U14" s="69"/>
      <c r="V14" s="239">
        <v>2530898.08</v>
      </c>
      <c r="W14" s="77"/>
      <c r="X14" s="239"/>
      <c r="Y14" s="77"/>
      <c r="Z14" s="239"/>
      <c r="AA14" s="77"/>
      <c r="AB14" s="239"/>
      <c r="AC14" s="77"/>
      <c r="AD14" s="239"/>
      <c r="AE14" s="77"/>
      <c r="AF14" s="239"/>
      <c r="AG14" s="24"/>
    </row>
    <row r="15" spans="1:52" s="39" customFormat="1" ht="25.5" x14ac:dyDescent="0.25">
      <c r="A15" s="270" t="s">
        <v>279</v>
      </c>
      <c r="B15" s="270" t="s">
        <v>11</v>
      </c>
      <c r="C15" s="274" t="s">
        <v>311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3">
        <f t="shared" si="0"/>
        <v>1066592.22</v>
      </c>
      <c r="R15" s="273">
        <v>0</v>
      </c>
      <c r="S15" s="273">
        <f>SUM(X15)</f>
        <v>1066592.22</v>
      </c>
      <c r="T15" s="24"/>
      <c r="U15" s="81"/>
      <c r="V15" s="239"/>
      <c r="W15" s="251"/>
      <c r="X15" s="239">
        <v>1066592.22</v>
      </c>
      <c r="Y15" s="251"/>
      <c r="Z15" s="239"/>
      <c r="AA15" s="251"/>
      <c r="AB15" s="239"/>
      <c r="AC15" s="251"/>
      <c r="AD15" s="239"/>
      <c r="AE15" s="251"/>
      <c r="AF15" s="239"/>
      <c r="AG15" s="24"/>
    </row>
    <row r="16" spans="1:52" s="39" customFormat="1" ht="15" x14ac:dyDescent="0.25">
      <c r="A16" s="270" t="s">
        <v>320</v>
      </c>
      <c r="B16" s="270" t="s">
        <v>11</v>
      </c>
      <c r="C16" s="271" t="s">
        <v>321</v>
      </c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3">
        <f t="shared" si="0"/>
        <v>6476938.1500000004</v>
      </c>
      <c r="R16" s="273">
        <v>0</v>
      </c>
      <c r="S16" s="273">
        <f>SUM(X16:AD16)</f>
        <v>6476938.1500000004</v>
      </c>
      <c r="T16" s="24"/>
      <c r="U16" s="81"/>
      <c r="V16" s="239"/>
      <c r="W16" s="251"/>
      <c r="X16" s="239">
        <v>4820785.07</v>
      </c>
      <c r="Y16" s="251"/>
      <c r="Z16" s="239">
        <v>0</v>
      </c>
      <c r="AA16" s="251"/>
      <c r="AB16" s="239">
        <v>607536.80000000005</v>
      </c>
      <c r="AC16" s="251"/>
      <c r="AD16" s="239">
        <v>1048616.28</v>
      </c>
      <c r="AE16" s="251"/>
      <c r="AF16" s="239"/>
      <c r="AG16" s="24"/>
    </row>
    <row r="17" spans="1:33" s="39" customFormat="1" ht="25.5" x14ac:dyDescent="0.25">
      <c r="A17" s="31" t="s">
        <v>35</v>
      </c>
      <c r="B17" s="49" t="s">
        <v>8</v>
      </c>
      <c r="C17" s="50" t="s">
        <v>246</v>
      </c>
      <c r="D17" s="51"/>
      <c r="E17" s="13"/>
      <c r="F17" s="24"/>
      <c r="G17" s="13"/>
      <c r="H17" s="13"/>
      <c r="I17" s="13"/>
      <c r="J17" s="24"/>
      <c r="K17" s="13"/>
      <c r="L17" s="13"/>
      <c r="M17" s="13"/>
      <c r="N17" s="13"/>
      <c r="O17" s="13"/>
      <c r="P17" s="24"/>
      <c r="Q17" s="67">
        <f>SUM(Q18:Q36)</f>
        <v>19879521.537894733</v>
      </c>
      <c r="R17" s="67">
        <f>SUM(R18:R34)</f>
        <v>0</v>
      </c>
      <c r="S17" s="67">
        <f>SUM(S18:S36)</f>
        <v>19879521.537894733</v>
      </c>
      <c r="T17" s="24"/>
      <c r="U17" s="67"/>
      <c r="V17" s="238"/>
      <c r="W17" s="256"/>
      <c r="X17" s="238"/>
      <c r="Y17" s="256"/>
      <c r="Z17" s="238"/>
      <c r="AA17" s="256"/>
      <c r="AB17" s="238"/>
      <c r="AC17" s="256"/>
      <c r="AD17" s="238"/>
      <c r="AE17" s="256"/>
      <c r="AF17" s="238"/>
      <c r="AG17" s="24"/>
    </row>
    <row r="18" spans="1:33" s="39" customFormat="1" ht="15" x14ac:dyDescent="0.25">
      <c r="A18" s="28" t="s">
        <v>36</v>
      </c>
      <c r="B18" s="28" t="s">
        <v>11</v>
      </c>
      <c r="C18" s="28" t="s">
        <v>247</v>
      </c>
      <c r="D18" s="29"/>
      <c r="E18" s="18"/>
      <c r="F18" s="30"/>
      <c r="G18" s="18"/>
      <c r="H18" s="18"/>
      <c r="I18" s="18"/>
      <c r="J18" s="30"/>
      <c r="K18" s="18"/>
      <c r="L18" s="18"/>
      <c r="M18" s="18"/>
      <c r="N18" s="18"/>
      <c r="O18" s="18"/>
      <c r="P18" s="30"/>
      <c r="Q18" s="69">
        <f t="shared" ref="Q18:Q27" si="1">R18+S18</f>
        <v>596006.31000000006</v>
      </c>
      <c r="R18" s="69">
        <v>0</v>
      </c>
      <c r="S18" s="69">
        <f>SUM(V18)</f>
        <v>596006.31000000006</v>
      </c>
      <c r="T18" s="30"/>
      <c r="U18" s="69"/>
      <c r="V18" s="239">
        <v>596006.31000000006</v>
      </c>
      <c r="W18" s="77"/>
      <c r="X18" s="239"/>
      <c r="Y18" s="77"/>
      <c r="Z18" s="239"/>
      <c r="AA18" s="77"/>
      <c r="AB18" s="239"/>
      <c r="AC18" s="77"/>
      <c r="AD18" s="239"/>
      <c r="AE18" s="77"/>
      <c r="AF18" s="239"/>
      <c r="AG18" s="30"/>
    </row>
    <row r="19" spans="1:33" s="39" customFormat="1" ht="15" x14ac:dyDescent="0.25">
      <c r="A19" s="28" t="s">
        <v>37</v>
      </c>
      <c r="B19" s="28" t="s">
        <v>11</v>
      </c>
      <c r="C19" s="275" t="s">
        <v>248</v>
      </c>
      <c r="D19" s="29"/>
      <c r="E19" s="18"/>
      <c r="F19" s="30"/>
      <c r="G19" s="18"/>
      <c r="H19" s="18"/>
      <c r="I19" s="18"/>
      <c r="J19" s="30"/>
      <c r="K19" s="18"/>
      <c r="L19" s="18"/>
      <c r="M19" s="18"/>
      <c r="N19" s="18"/>
      <c r="O19" s="18"/>
      <c r="P19" s="30"/>
      <c r="Q19" s="69">
        <f t="shared" si="1"/>
        <v>1922183.1</v>
      </c>
      <c r="R19" s="69">
        <v>0</v>
      </c>
      <c r="S19" s="69">
        <f>SUM(V19:X19)</f>
        <v>1922183.1</v>
      </c>
      <c r="T19" s="30"/>
      <c r="U19" s="69"/>
      <c r="V19" s="239">
        <v>526315.79</v>
      </c>
      <c r="W19" s="77"/>
      <c r="X19" s="239">
        <v>1395867.31</v>
      </c>
      <c r="Y19" s="77"/>
      <c r="Z19" s="239"/>
      <c r="AA19" s="77"/>
      <c r="AB19" s="239"/>
      <c r="AC19" s="77"/>
      <c r="AD19" s="239"/>
      <c r="AE19" s="77"/>
      <c r="AF19" s="239"/>
      <c r="AG19" s="30"/>
    </row>
    <row r="20" spans="1:33" s="39" customFormat="1" ht="25.5" x14ac:dyDescent="0.25">
      <c r="A20" s="28" t="s">
        <v>38</v>
      </c>
      <c r="B20" s="28" t="s">
        <v>11</v>
      </c>
      <c r="C20" s="275" t="s">
        <v>269</v>
      </c>
      <c r="D20" s="29"/>
      <c r="E20" s="18"/>
      <c r="F20" s="30"/>
      <c r="G20" s="18"/>
      <c r="H20" s="18"/>
      <c r="I20" s="18"/>
      <c r="J20" s="30"/>
      <c r="K20" s="18"/>
      <c r="L20" s="18"/>
      <c r="M20" s="18"/>
      <c r="N20" s="18"/>
      <c r="O20" s="18"/>
      <c r="P20" s="30"/>
      <c r="Q20" s="69">
        <f t="shared" si="1"/>
        <v>389653.38</v>
      </c>
      <c r="R20" s="69">
        <v>0</v>
      </c>
      <c r="S20" s="69">
        <f>SUM(V20+X20)</f>
        <v>389653.38</v>
      </c>
      <c r="T20" s="30"/>
      <c r="U20" s="69"/>
      <c r="V20" s="239">
        <v>229558.89</v>
      </c>
      <c r="W20" s="77"/>
      <c r="X20" s="239">
        <v>160094.49</v>
      </c>
      <c r="Y20" s="77"/>
      <c r="Z20" s="239"/>
      <c r="AA20" s="77"/>
      <c r="AB20" s="239"/>
      <c r="AC20" s="77"/>
      <c r="AD20" s="239"/>
      <c r="AE20" s="77"/>
      <c r="AF20" s="239"/>
      <c r="AG20" s="30"/>
    </row>
    <row r="21" spans="1:33" s="39" customFormat="1" ht="15" x14ac:dyDescent="0.25">
      <c r="A21" s="28" t="s">
        <v>249</v>
      </c>
      <c r="B21" s="28" t="s">
        <v>11</v>
      </c>
      <c r="C21" s="275" t="s">
        <v>294</v>
      </c>
      <c r="D21" s="29"/>
      <c r="E21" s="18"/>
      <c r="F21" s="30"/>
      <c r="G21" s="18"/>
      <c r="H21" s="18"/>
      <c r="I21" s="18"/>
      <c r="J21" s="30"/>
      <c r="K21" s="18"/>
      <c r="L21" s="18"/>
      <c r="M21" s="18"/>
      <c r="N21" s="18"/>
      <c r="O21" s="18"/>
      <c r="P21" s="30"/>
      <c r="Q21" s="69">
        <f t="shared" ref="Q21" si="2">R21+S21</f>
        <v>3911213.82</v>
      </c>
      <c r="R21" s="69">
        <v>0</v>
      </c>
      <c r="S21" s="69">
        <f>SUM(V21+X21)</f>
        <v>3911213.82</v>
      </c>
      <c r="T21" s="30"/>
      <c r="U21" s="81"/>
      <c r="V21" s="239">
        <v>394736.84</v>
      </c>
      <c r="W21" s="251"/>
      <c r="X21" s="239">
        <v>3516476.98</v>
      </c>
      <c r="Y21" s="251"/>
      <c r="Z21" s="239"/>
      <c r="AA21" s="251"/>
      <c r="AB21" s="239"/>
      <c r="AC21" s="251"/>
      <c r="AD21" s="239"/>
      <c r="AE21" s="251"/>
      <c r="AF21" s="239"/>
      <c r="AG21" s="30"/>
    </row>
    <row r="22" spans="1:33" s="39" customFormat="1" ht="15" x14ac:dyDescent="0.25">
      <c r="A22" s="79" t="s">
        <v>252</v>
      </c>
      <c r="B22" s="225" t="s">
        <v>11</v>
      </c>
      <c r="C22" s="276" t="s">
        <v>250</v>
      </c>
      <c r="D22" s="227"/>
      <c r="E22" s="80"/>
      <c r="F22" s="30"/>
      <c r="G22" s="80"/>
      <c r="H22" s="80"/>
      <c r="I22" s="80"/>
      <c r="J22" s="30"/>
      <c r="K22" s="80"/>
      <c r="L22" s="80"/>
      <c r="M22" s="80"/>
      <c r="N22" s="80"/>
      <c r="O22" s="80"/>
      <c r="P22" s="30"/>
      <c r="Q22" s="81">
        <f t="shared" si="1"/>
        <v>112413.37</v>
      </c>
      <c r="R22" s="81">
        <v>0</v>
      </c>
      <c r="S22" s="81">
        <f>SUM(V22)</f>
        <v>112413.37</v>
      </c>
      <c r="T22" s="30"/>
      <c r="U22" s="81"/>
      <c r="V22" s="239">
        <v>112413.37</v>
      </c>
      <c r="W22" s="251"/>
      <c r="X22" s="239"/>
      <c r="Y22" s="251"/>
      <c r="Z22" s="239"/>
      <c r="AA22" s="251"/>
      <c r="AB22" s="239"/>
      <c r="AC22" s="251"/>
      <c r="AD22" s="239"/>
      <c r="AE22" s="251"/>
      <c r="AF22" s="239"/>
      <c r="AG22" s="30"/>
    </row>
    <row r="23" spans="1:33" s="39" customFormat="1" ht="15" x14ac:dyDescent="0.25">
      <c r="A23" s="79" t="s">
        <v>253</v>
      </c>
      <c r="B23" s="225" t="s">
        <v>11</v>
      </c>
      <c r="C23" s="276" t="s">
        <v>251</v>
      </c>
      <c r="D23" s="227"/>
      <c r="E23" s="80"/>
      <c r="F23" s="30"/>
      <c r="G23" s="80"/>
      <c r="H23" s="80"/>
      <c r="I23" s="80"/>
      <c r="J23" s="30"/>
      <c r="K23" s="80"/>
      <c r="L23" s="80"/>
      <c r="M23" s="80"/>
      <c r="N23" s="80"/>
      <c r="O23" s="80"/>
      <c r="P23" s="30"/>
      <c r="Q23" s="81">
        <f t="shared" si="1"/>
        <v>277264.39</v>
      </c>
      <c r="R23" s="81">
        <v>0</v>
      </c>
      <c r="S23" s="81">
        <f>SUM(V23)</f>
        <v>277264.39</v>
      </c>
      <c r="T23" s="30"/>
      <c r="U23" s="81"/>
      <c r="V23" s="239">
        <v>277264.39</v>
      </c>
      <c r="W23" s="251"/>
      <c r="X23" s="239"/>
      <c r="Y23" s="251"/>
      <c r="Z23" s="239"/>
      <c r="AA23" s="251"/>
      <c r="AB23" s="239"/>
      <c r="AC23" s="251"/>
      <c r="AD23" s="239"/>
      <c r="AE23" s="251"/>
      <c r="AF23" s="239"/>
      <c r="AG23" s="30"/>
    </row>
    <row r="24" spans="1:33" s="39" customFormat="1" ht="25.5" x14ac:dyDescent="0.25">
      <c r="A24" s="79" t="s">
        <v>295</v>
      </c>
      <c r="B24" s="225" t="s">
        <v>11</v>
      </c>
      <c r="C24" s="276" t="s">
        <v>293</v>
      </c>
      <c r="D24" s="225"/>
      <c r="E24" s="236"/>
      <c r="F24" s="233"/>
      <c r="G24" s="93"/>
      <c r="H24" s="234"/>
      <c r="I24" s="93"/>
      <c r="J24" s="93"/>
      <c r="K24" s="93"/>
      <c r="L24" s="234"/>
      <c r="M24" s="93"/>
      <c r="N24" s="93"/>
      <c r="O24" s="93"/>
      <c r="P24" s="93"/>
      <c r="Q24" s="81">
        <f t="shared" si="1"/>
        <v>560989.06999999995</v>
      </c>
      <c r="R24" s="81">
        <v>0</v>
      </c>
      <c r="S24" s="81">
        <f>SUM(X24)</f>
        <v>560989.06999999995</v>
      </c>
      <c r="T24" s="252"/>
      <c r="U24" s="81"/>
      <c r="V24" s="239"/>
      <c r="W24" s="77"/>
      <c r="X24" s="239">
        <v>560989.06999999995</v>
      </c>
      <c r="Y24" s="251"/>
      <c r="Z24" s="239"/>
      <c r="AA24" s="251"/>
      <c r="AB24" s="239"/>
      <c r="AC24" s="251"/>
      <c r="AD24" s="239"/>
      <c r="AE24" s="251"/>
      <c r="AF24" s="239"/>
      <c r="AG24" s="30"/>
    </row>
    <row r="25" spans="1:33" s="39" customFormat="1" ht="15" x14ac:dyDescent="0.25">
      <c r="A25" s="79" t="s">
        <v>255</v>
      </c>
      <c r="B25" s="225" t="s">
        <v>11</v>
      </c>
      <c r="C25" s="276" t="s">
        <v>254</v>
      </c>
      <c r="D25" s="227"/>
      <c r="E25" s="80"/>
      <c r="F25" s="30"/>
      <c r="G25" s="80"/>
      <c r="H25" s="80"/>
      <c r="I25" s="80"/>
      <c r="J25" s="30"/>
      <c r="K25" s="80"/>
      <c r="L25" s="80"/>
      <c r="M25" s="80"/>
      <c r="N25" s="80"/>
      <c r="O25" s="80"/>
      <c r="P25" s="30"/>
      <c r="Q25" s="81">
        <f>R25+S25</f>
        <v>705753.48</v>
      </c>
      <c r="R25" s="81">
        <v>0</v>
      </c>
      <c r="S25" s="81">
        <f>SUM(V25:X25)</f>
        <v>705753.48</v>
      </c>
      <c r="T25" s="30"/>
      <c r="U25" s="81"/>
      <c r="V25" s="239">
        <v>157894.73000000001</v>
      </c>
      <c r="W25" s="251"/>
      <c r="X25" s="239">
        <v>547858.75</v>
      </c>
      <c r="Y25" s="251"/>
      <c r="Z25" s="239"/>
      <c r="AA25" s="251"/>
      <c r="AB25" s="239"/>
      <c r="AC25" s="251"/>
      <c r="AD25" s="239"/>
      <c r="AE25" s="251"/>
      <c r="AF25" s="239"/>
      <c r="AG25" s="30"/>
    </row>
    <row r="26" spans="1:33" s="39" customFormat="1" ht="15" x14ac:dyDescent="0.25">
      <c r="A26" s="79" t="s">
        <v>280</v>
      </c>
      <c r="B26" s="225" t="s">
        <v>11</v>
      </c>
      <c r="C26" s="226" t="s">
        <v>256</v>
      </c>
      <c r="D26" s="227"/>
      <c r="E26" s="80"/>
      <c r="F26" s="30"/>
      <c r="G26" s="80"/>
      <c r="H26" s="80"/>
      <c r="I26" s="80"/>
      <c r="J26" s="30"/>
      <c r="K26" s="80"/>
      <c r="L26" s="80"/>
      <c r="M26" s="80"/>
      <c r="N26" s="80"/>
      <c r="O26" s="80"/>
      <c r="P26" s="30"/>
      <c r="Q26" s="81">
        <f t="shared" si="1"/>
        <v>887386.81</v>
      </c>
      <c r="R26" s="81">
        <v>0</v>
      </c>
      <c r="S26" s="81">
        <f>SUM(V26)</f>
        <v>887386.81</v>
      </c>
      <c r="T26" s="30"/>
      <c r="U26" s="81"/>
      <c r="V26" s="239">
        <v>887386.81</v>
      </c>
      <c r="W26" s="251"/>
      <c r="X26" s="239"/>
      <c r="Y26" s="251"/>
      <c r="Z26" s="239"/>
      <c r="AA26" s="251"/>
      <c r="AB26" s="239"/>
      <c r="AC26" s="251"/>
      <c r="AD26" s="239"/>
      <c r="AE26" s="251"/>
      <c r="AF26" s="239"/>
      <c r="AG26" s="30"/>
    </row>
    <row r="27" spans="1:33" s="39" customFormat="1" ht="15" x14ac:dyDescent="0.25">
      <c r="A27" s="79" t="s">
        <v>291</v>
      </c>
      <c r="B27" s="225" t="s">
        <v>11</v>
      </c>
      <c r="C27" s="226" t="s">
        <v>257</v>
      </c>
      <c r="D27" s="227"/>
      <c r="E27" s="80"/>
      <c r="F27" s="30"/>
      <c r="G27" s="80"/>
      <c r="H27" s="80"/>
      <c r="I27" s="80"/>
      <c r="J27" s="30"/>
      <c r="K27" s="80"/>
      <c r="L27" s="80"/>
      <c r="M27" s="80"/>
      <c r="N27" s="80"/>
      <c r="O27" s="80"/>
      <c r="P27" s="30"/>
      <c r="Q27" s="81">
        <f t="shared" si="1"/>
        <v>2525003.2599999998</v>
      </c>
      <c r="R27" s="81">
        <v>0</v>
      </c>
      <c r="S27" s="81">
        <f>SUM(V27+X27)</f>
        <v>2525003.2599999998</v>
      </c>
      <c r="T27" s="30"/>
      <c r="U27" s="81"/>
      <c r="V27" s="239">
        <v>1348567.5</v>
      </c>
      <c r="W27" s="251"/>
      <c r="X27" s="239">
        <v>1176435.76</v>
      </c>
      <c r="Y27" s="251"/>
      <c r="Z27" s="239"/>
      <c r="AA27" s="251"/>
      <c r="AB27" s="239"/>
      <c r="AC27" s="251"/>
      <c r="AD27" s="239"/>
      <c r="AE27" s="251"/>
      <c r="AF27" s="239"/>
      <c r="AG27" s="30"/>
    </row>
    <row r="28" spans="1:33" s="39" customFormat="1" ht="15" x14ac:dyDescent="0.25">
      <c r="A28" s="81" t="s">
        <v>296</v>
      </c>
      <c r="B28" s="81" t="s">
        <v>11</v>
      </c>
      <c r="C28" s="277" t="s">
        <v>292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>
        <f>R28+S28</f>
        <v>2527379.5300000003</v>
      </c>
      <c r="R28" s="81">
        <v>0</v>
      </c>
      <c r="S28" s="81">
        <f>SUM(V28+X28)</f>
        <v>2527379.5300000003</v>
      </c>
      <c r="T28" s="30"/>
      <c r="U28" s="81"/>
      <c r="V28" s="239">
        <v>131578.95000000001</v>
      </c>
      <c r="W28" s="251"/>
      <c r="X28" s="239">
        <v>2395800.58</v>
      </c>
      <c r="Y28" s="251"/>
      <c r="Z28" s="239"/>
      <c r="AA28" s="251"/>
      <c r="AB28" s="239"/>
      <c r="AC28" s="251"/>
      <c r="AD28" s="239"/>
      <c r="AE28" s="251"/>
      <c r="AF28" s="239"/>
      <c r="AG28" s="30"/>
    </row>
    <row r="29" spans="1:33" s="39" customFormat="1" ht="25.5" x14ac:dyDescent="0.25">
      <c r="A29" s="79" t="s">
        <v>301</v>
      </c>
      <c r="B29" s="225" t="s">
        <v>11</v>
      </c>
      <c r="C29" s="276" t="s">
        <v>300</v>
      </c>
      <c r="D29" s="225"/>
      <c r="E29" s="236"/>
      <c r="F29" s="233"/>
      <c r="G29" s="93"/>
      <c r="H29" s="234"/>
      <c r="I29" s="93"/>
      <c r="J29" s="93"/>
      <c r="K29" s="93"/>
      <c r="L29" s="234"/>
      <c r="M29" s="93"/>
      <c r="N29" s="93"/>
      <c r="O29" s="93"/>
      <c r="P29" s="93"/>
      <c r="Q29" s="81">
        <f t="shared" ref="Q29:Q31" si="3">R29+S29</f>
        <v>1221626.56</v>
      </c>
      <c r="R29" s="81">
        <v>0</v>
      </c>
      <c r="S29" s="81">
        <f>SUM(X29)</f>
        <v>1221626.56</v>
      </c>
      <c r="T29" s="252"/>
      <c r="U29" s="81"/>
      <c r="V29" s="239"/>
      <c r="W29" s="77"/>
      <c r="X29" s="239">
        <v>1221626.56</v>
      </c>
      <c r="Y29" s="251"/>
      <c r="Z29" s="239"/>
      <c r="AA29" s="251"/>
      <c r="AB29" s="239"/>
      <c r="AC29" s="251"/>
      <c r="AD29" s="239"/>
      <c r="AE29" s="251"/>
      <c r="AF29" s="239"/>
      <c r="AG29" s="30"/>
    </row>
    <row r="30" spans="1:33" s="39" customFormat="1" ht="25.5" x14ac:dyDescent="0.25">
      <c r="A30" s="79" t="s">
        <v>302</v>
      </c>
      <c r="B30" s="225" t="s">
        <v>11</v>
      </c>
      <c r="C30" s="276" t="s">
        <v>303</v>
      </c>
      <c r="D30" s="268"/>
      <c r="E30" s="236"/>
      <c r="F30" s="269"/>
      <c r="G30" s="93"/>
      <c r="H30" s="234"/>
      <c r="I30" s="93"/>
      <c r="J30" s="267"/>
      <c r="K30" s="93"/>
      <c r="L30" s="234"/>
      <c r="M30" s="93"/>
      <c r="N30" s="93"/>
      <c r="O30" s="93"/>
      <c r="P30" s="267"/>
      <c r="Q30" s="81">
        <f t="shared" ref="Q30" si="4">R30+S30</f>
        <v>1341977.8700000001</v>
      </c>
      <c r="R30" s="81">
        <v>0</v>
      </c>
      <c r="S30" s="81">
        <f>SUM(X30)</f>
        <v>1341977.8700000001</v>
      </c>
      <c r="T30" s="246"/>
      <c r="U30" s="81"/>
      <c r="V30" s="239"/>
      <c r="W30" s="251"/>
      <c r="X30" s="239">
        <v>1341977.8700000001</v>
      </c>
      <c r="Y30" s="251"/>
      <c r="Z30" s="239"/>
      <c r="AA30" s="251"/>
      <c r="AB30" s="239"/>
      <c r="AC30" s="251"/>
      <c r="AD30" s="239"/>
      <c r="AE30" s="251"/>
      <c r="AF30" s="239"/>
      <c r="AG30" s="30"/>
    </row>
    <row r="31" spans="1:33" s="39" customFormat="1" ht="15" x14ac:dyDescent="0.25">
      <c r="A31" s="79" t="s">
        <v>305</v>
      </c>
      <c r="B31" s="225" t="s">
        <v>11</v>
      </c>
      <c r="C31" s="276" t="s">
        <v>306</v>
      </c>
      <c r="D31" s="268"/>
      <c r="E31" s="236"/>
      <c r="F31" s="269"/>
      <c r="G31" s="93"/>
      <c r="H31" s="234"/>
      <c r="I31" s="93"/>
      <c r="J31" s="267"/>
      <c r="K31" s="93"/>
      <c r="L31" s="234"/>
      <c r="M31" s="93"/>
      <c r="N31" s="93"/>
      <c r="O31" s="93"/>
      <c r="P31" s="267"/>
      <c r="Q31" s="81">
        <f t="shared" si="3"/>
        <v>607876.15</v>
      </c>
      <c r="R31" s="81">
        <v>0</v>
      </c>
      <c r="S31" s="81">
        <f>SUM(X31)</f>
        <v>607876.15</v>
      </c>
      <c r="T31" s="246"/>
      <c r="U31" s="81"/>
      <c r="V31" s="239"/>
      <c r="W31" s="251"/>
      <c r="X31" s="239">
        <v>607876.15</v>
      </c>
      <c r="Y31" s="251"/>
      <c r="Z31" s="239"/>
      <c r="AA31" s="251"/>
      <c r="AB31" s="239"/>
      <c r="AC31" s="251"/>
      <c r="AD31" s="239"/>
      <c r="AE31" s="251"/>
      <c r="AF31" s="239"/>
      <c r="AG31" s="30"/>
    </row>
    <row r="32" spans="1:33" s="39" customFormat="1" ht="25.5" x14ac:dyDescent="0.25">
      <c r="A32" s="79" t="s">
        <v>308</v>
      </c>
      <c r="B32" s="225" t="s">
        <v>11</v>
      </c>
      <c r="C32" s="276" t="s">
        <v>309</v>
      </c>
      <c r="D32" s="268"/>
      <c r="E32" s="236"/>
      <c r="F32" s="269"/>
      <c r="G32" s="93"/>
      <c r="H32" s="234"/>
      <c r="I32" s="93"/>
      <c r="J32" s="267"/>
      <c r="K32" s="93"/>
      <c r="L32" s="234"/>
      <c r="M32" s="93"/>
      <c r="N32" s="93"/>
      <c r="O32" s="93"/>
      <c r="P32" s="267"/>
      <c r="Q32" s="81">
        <f t="shared" ref="Q32" si="5">R32+S32</f>
        <v>889665.12368421059</v>
      </c>
      <c r="R32" s="81">
        <v>0</v>
      </c>
      <c r="S32" s="81">
        <f>3380727.47/3.8</f>
        <v>889665.12368421059</v>
      </c>
      <c r="T32" s="246"/>
      <c r="U32" s="81"/>
      <c r="V32" s="239"/>
      <c r="W32" s="251"/>
      <c r="X32" s="239">
        <v>889665.12</v>
      </c>
      <c r="Y32" s="251"/>
      <c r="Z32" s="239"/>
      <c r="AA32" s="251"/>
      <c r="AB32" s="239"/>
      <c r="AC32" s="251"/>
      <c r="AD32" s="239"/>
      <c r="AE32" s="251"/>
      <c r="AF32" s="239"/>
      <c r="AG32" s="30"/>
    </row>
    <row r="33" spans="1:36" s="39" customFormat="1" ht="25.5" x14ac:dyDescent="0.25">
      <c r="A33" s="79" t="s">
        <v>312</v>
      </c>
      <c r="B33" s="225" t="s">
        <v>11</v>
      </c>
      <c r="C33" s="276" t="s">
        <v>313</v>
      </c>
      <c r="D33" s="268"/>
      <c r="E33" s="236"/>
      <c r="F33" s="269"/>
      <c r="G33" s="93"/>
      <c r="H33" s="234"/>
      <c r="I33" s="93"/>
      <c r="J33" s="267"/>
      <c r="K33" s="93"/>
      <c r="L33" s="234"/>
      <c r="M33" s="93"/>
      <c r="N33" s="93"/>
      <c r="O33" s="93"/>
      <c r="P33" s="267"/>
      <c r="Q33" s="81">
        <f t="shared" ref="Q33:Q36" si="6">R33+S33</f>
        <v>607106.28421052627</v>
      </c>
      <c r="R33" s="81">
        <v>0</v>
      </c>
      <c r="S33" s="81">
        <f>2307003.88/3.8</f>
        <v>607106.28421052627</v>
      </c>
      <c r="T33" s="246"/>
      <c r="U33" s="81"/>
      <c r="V33" s="239"/>
      <c r="W33" s="251"/>
      <c r="X33" s="239">
        <v>607106.28</v>
      </c>
      <c r="Y33" s="251"/>
      <c r="Z33" s="239"/>
      <c r="AA33" s="251"/>
      <c r="AB33" s="239"/>
      <c r="AC33" s="251"/>
      <c r="AD33" s="239"/>
      <c r="AE33" s="251"/>
      <c r="AF33" s="239"/>
      <c r="AG33" s="30"/>
    </row>
    <row r="34" spans="1:36" s="39" customFormat="1" ht="25.5" x14ac:dyDescent="0.25">
      <c r="A34" s="79" t="s">
        <v>316</v>
      </c>
      <c r="B34" s="225" t="s">
        <v>11</v>
      </c>
      <c r="C34" s="226" t="s">
        <v>317</v>
      </c>
      <c r="D34" s="268"/>
      <c r="E34" s="236"/>
      <c r="F34" s="269"/>
      <c r="G34" s="93"/>
      <c r="H34" s="234"/>
      <c r="I34" s="93"/>
      <c r="J34" s="267"/>
      <c r="K34" s="93"/>
      <c r="L34" s="234"/>
      <c r="M34" s="93"/>
      <c r="N34" s="93"/>
      <c r="O34" s="93"/>
      <c r="P34" s="267"/>
      <c r="Q34" s="81">
        <f t="shared" si="6"/>
        <v>276662.13</v>
      </c>
      <c r="R34" s="81">
        <v>0</v>
      </c>
      <c r="S34" s="81">
        <f>SUM(V34+X34)</f>
        <v>276662.13</v>
      </c>
      <c r="T34" s="246"/>
      <c r="U34" s="81"/>
      <c r="V34" s="239">
        <v>42522.47</v>
      </c>
      <c r="W34" s="251"/>
      <c r="X34" s="239">
        <v>234139.66</v>
      </c>
      <c r="Y34" s="251"/>
      <c r="Z34" s="239"/>
      <c r="AA34" s="251"/>
      <c r="AB34" s="239"/>
      <c r="AC34" s="251"/>
      <c r="AD34" s="239"/>
      <c r="AE34" s="251"/>
      <c r="AF34" s="239"/>
      <c r="AG34" s="30"/>
    </row>
    <row r="35" spans="1:36" s="39" customFormat="1" ht="25.5" x14ac:dyDescent="0.25">
      <c r="A35" s="79" t="s">
        <v>322</v>
      </c>
      <c r="B35" s="225" t="s">
        <v>11</v>
      </c>
      <c r="C35" s="226" t="s">
        <v>324</v>
      </c>
      <c r="D35" s="268"/>
      <c r="E35" s="236"/>
      <c r="F35" s="269"/>
      <c r="G35" s="93"/>
      <c r="H35" s="234"/>
      <c r="I35" s="93"/>
      <c r="J35" s="267"/>
      <c r="K35" s="93"/>
      <c r="L35" s="234"/>
      <c r="M35" s="93"/>
      <c r="N35" s="93"/>
      <c r="O35" s="93"/>
      <c r="P35" s="267"/>
      <c r="Q35" s="81">
        <f t="shared" si="6"/>
        <v>256691.46</v>
      </c>
      <c r="R35" s="81">
        <v>0</v>
      </c>
      <c r="S35" s="81">
        <v>256691.46</v>
      </c>
      <c r="T35" s="246"/>
      <c r="U35" s="81"/>
      <c r="V35" s="239"/>
      <c r="W35" s="251"/>
      <c r="X35" s="239">
        <v>256691.46</v>
      </c>
      <c r="Y35" s="251"/>
      <c r="Z35" s="239"/>
      <c r="AA35" s="251"/>
      <c r="AB35" s="239"/>
      <c r="AC35" s="251"/>
      <c r="AD35" s="239"/>
      <c r="AE35" s="251"/>
      <c r="AF35" s="239"/>
      <c r="AG35" s="30"/>
    </row>
    <row r="36" spans="1:36" s="39" customFormat="1" ht="25.5" x14ac:dyDescent="0.25">
      <c r="A36" s="79" t="s">
        <v>323</v>
      </c>
      <c r="B36" s="225" t="s">
        <v>11</v>
      </c>
      <c r="C36" s="226" t="s">
        <v>325</v>
      </c>
      <c r="D36" s="268"/>
      <c r="E36" s="236"/>
      <c r="F36" s="269"/>
      <c r="G36" s="93"/>
      <c r="H36" s="234"/>
      <c r="I36" s="93"/>
      <c r="J36" s="267"/>
      <c r="K36" s="93"/>
      <c r="L36" s="234"/>
      <c r="M36" s="93"/>
      <c r="N36" s="93"/>
      <c r="O36" s="93"/>
      <c r="P36" s="267"/>
      <c r="Q36" s="81">
        <f t="shared" si="6"/>
        <v>262669.44</v>
      </c>
      <c r="R36" s="81">
        <v>0</v>
      </c>
      <c r="S36" s="81">
        <v>262669.44</v>
      </c>
      <c r="T36" s="246"/>
      <c r="U36" s="81"/>
      <c r="V36" s="239"/>
      <c r="W36" s="251"/>
      <c r="X36" s="239">
        <v>262669.44</v>
      </c>
      <c r="Y36" s="251"/>
      <c r="Z36" s="239"/>
      <c r="AA36" s="251"/>
      <c r="AB36" s="239"/>
      <c r="AC36" s="251"/>
      <c r="AD36" s="239"/>
      <c r="AE36" s="251"/>
      <c r="AF36" s="239"/>
      <c r="AG36" s="30"/>
    </row>
    <row r="37" spans="1:36" s="39" customFormat="1" ht="15" x14ac:dyDescent="0.25">
      <c r="A37" s="62">
        <v>1.04</v>
      </c>
      <c r="B37" s="62" t="s">
        <v>27</v>
      </c>
      <c r="C37" s="63" t="s">
        <v>220</v>
      </c>
      <c r="D37" s="64"/>
      <c r="E37" s="65"/>
      <c r="F37" s="66"/>
      <c r="G37" s="65"/>
      <c r="H37" s="65"/>
      <c r="I37" s="65"/>
      <c r="J37" s="66"/>
      <c r="K37" s="65"/>
      <c r="L37" s="65"/>
      <c r="M37" s="65"/>
      <c r="N37" s="65"/>
      <c r="O37" s="65"/>
      <c r="P37" s="66"/>
      <c r="Q37" s="72">
        <f>Q38+Q43</f>
        <v>3155621.6722291023</v>
      </c>
      <c r="R37" s="72">
        <f>R38+R43</f>
        <v>0</v>
      </c>
      <c r="S37" s="72">
        <f>S38+S43</f>
        <v>3155621.6722291023</v>
      </c>
      <c r="T37" s="30"/>
      <c r="U37" s="73"/>
      <c r="V37" s="240"/>
      <c r="W37" s="255"/>
      <c r="X37" s="240"/>
      <c r="Y37" s="255"/>
      <c r="Z37" s="240"/>
      <c r="AA37" s="255"/>
      <c r="AB37" s="240"/>
      <c r="AC37" s="255"/>
      <c r="AD37" s="240"/>
      <c r="AE37" s="255"/>
      <c r="AF37" s="240"/>
      <c r="AG37" s="30"/>
    </row>
    <row r="38" spans="1:36" s="39" customFormat="1" ht="25.5" x14ac:dyDescent="0.25">
      <c r="A38" s="31" t="s">
        <v>39</v>
      </c>
      <c r="B38" s="49" t="s">
        <v>8</v>
      </c>
      <c r="C38" s="31" t="s">
        <v>228</v>
      </c>
      <c r="D38" s="228"/>
      <c r="E38" s="229"/>
      <c r="F38" s="230"/>
      <c r="G38" s="229"/>
      <c r="H38" s="229"/>
      <c r="I38" s="229"/>
      <c r="J38" s="230"/>
      <c r="K38" s="229"/>
      <c r="L38" s="229"/>
      <c r="M38" s="229"/>
      <c r="N38" s="229"/>
      <c r="O38" s="229"/>
      <c r="P38" s="231"/>
      <c r="Q38" s="92">
        <f>SUM(Q39:Q42)</f>
        <v>1318386.1399999999</v>
      </c>
      <c r="R38" s="92">
        <f>SUM(R39:R42)</f>
        <v>0</v>
      </c>
      <c r="S38" s="92">
        <f>SUM(S39:S42)</f>
        <v>1318386.1399999999</v>
      </c>
      <c r="T38" s="232"/>
      <c r="U38" s="92"/>
      <c r="V38" s="238"/>
      <c r="W38" s="257"/>
      <c r="X38" s="238"/>
      <c r="Y38" s="257"/>
      <c r="Z38" s="238"/>
      <c r="AA38" s="257"/>
      <c r="AB38" s="238"/>
      <c r="AC38" s="257"/>
      <c r="AD38" s="238"/>
      <c r="AE38" s="257"/>
      <c r="AF38" s="238"/>
      <c r="AG38" s="30"/>
    </row>
    <row r="39" spans="1:36" s="39" customFormat="1" ht="25.5" x14ac:dyDescent="0.25">
      <c r="A39" s="28" t="s">
        <v>258</v>
      </c>
      <c r="B39" s="28" t="s">
        <v>11</v>
      </c>
      <c r="C39" s="28" t="s">
        <v>268</v>
      </c>
      <c r="D39" s="233"/>
      <c r="E39" s="93"/>
      <c r="F39" s="234"/>
      <c r="G39" s="93"/>
      <c r="H39" s="93"/>
      <c r="I39" s="93"/>
      <c r="J39" s="234"/>
      <c r="K39" s="93"/>
      <c r="L39" s="93"/>
      <c r="M39" s="93"/>
      <c r="N39" s="93"/>
      <c r="O39" s="93"/>
      <c r="P39" s="234"/>
      <c r="Q39" s="81">
        <f>R39+S39</f>
        <v>316523.07999999996</v>
      </c>
      <c r="R39" s="81">
        <v>0</v>
      </c>
      <c r="S39" s="81">
        <f>SUM(V39+X39)</f>
        <v>316523.07999999996</v>
      </c>
      <c r="T39" s="232"/>
      <c r="U39" s="81"/>
      <c r="V39" s="239">
        <v>151444.18</v>
      </c>
      <c r="W39" s="251"/>
      <c r="X39" s="239">
        <v>165078.9</v>
      </c>
      <c r="Y39" s="251"/>
      <c r="Z39" s="239"/>
      <c r="AA39" s="251"/>
      <c r="AB39" s="239"/>
      <c r="AC39" s="251"/>
      <c r="AD39" s="239"/>
      <c r="AE39" s="251"/>
      <c r="AF39" s="239"/>
      <c r="AG39" s="30"/>
    </row>
    <row r="40" spans="1:36" s="39" customFormat="1" ht="15" x14ac:dyDescent="0.25">
      <c r="A40" s="28" t="s">
        <v>259</v>
      </c>
      <c r="B40" s="28" t="s">
        <v>11</v>
      </c>
      <c r="C40" s="28" t="s">
        <v>270</v>
      </c>
      <c r="D40" s="29"/>
      <c r="E40" s="18"/>
      <c r="F40" s="30"/>
      <c r="G40" s="18"/>
      <c r="H40" s="18"/>
      <c r="I40" s="18"/>
      <c r="J40" s="30"/>
      <c r="K40" s="18"/>
      <c r="L40" s="18"/>
      <c r="M40" s="18"/>
      <c r="N40" s="93"/>
      <c r="O40" s="93"/>
      <c r="P40" s="234"/>
      <c r="Q40" s="81">
        <f>R40+S40</f>
        <v>638225.09</v>
      </c>
      <c r="R40" s="81">
        <v>0</v>
      </c>
      <c r="S40" s="81">
        <f>SUM(V40+X40)</f>
        <v>638225.09</v>
      </c>
      <c r="T40" s="232"/>
      <c r="U40" s="81"/>
      <c r="V40" s="239">
        <v>101229.96</v>
      </c>
      <c r="W40" s="251"/>
      <c r="X40" s="239">
        <v>536995.13</v>
      </c>
      <c r="Y40" s="251"/>
      <c r="Z40" s="239"/>
      <c r="AA40" s="251"/>
      <c r="AB40" s="239"/>
      <c r="AC40" s="251"/>
      <c r="AD40" s="239"/>
      <c r="AE40" s="251"/>
      <c r="AF40" s="239"/>
      <c r="AG40" s="30"/>
    </row>
    <row r="41" spans="1:36" s="39" customFormat="1" ht="15" x14ac:dyDescent="0.25">
      <c r="A41" s="79" t="s">
        <v>261</v>
      </c>
      <c r="B41" s="225" t="s">
        <v>11</v>
      </c>
      <c r="C41" s="236" t="s">
        <v>260</v>
      </c>
      <c r="D41" s="233"/>
      <c r="E41" s="93"/>
      <c r="F41" s="234"/>
      <c r="G41" s="93"/>
      <c r="H41" s="93"/>
      <c r="I41" s="93"/>
      <c r="J41" s="234"/>
      <c r="K41" s="93"/>
      <c r="L41" s="93"/>
      <c r="M41" s="93"/>
      <c r="N41" s="93"/>
      <c r="O41" s="93"/>
      <c r="P41" s="234"/>
      <c r="Q41" s="81">
        <f>R41+S41</f>
        <v>46658.16</v>
      </c>
      <c r="R41" s="81">
        <v>0</v>
      </c>
      <c r="S41" s="81">
        <f>SUM(V41)</f>
        <v>46658.16</v>
      </c>
      <c r="T41" s="232"/>
      <c r="U41" s="81"/>
      <c r="V41" s="239">
        <v>46658.16</v>
      </c>
      <c r="W41" s="251"/>
      <c r="X41" s="239"/>
      <c r="Y41" s="251"/>
      <c r="Z41" s="239"/>
      <c r="AA41" s="251"/>
      <c r="AB41" s="239"/>
      <c r="AC41" s="251"/>
      <c r="AD41" s="239"/>
      <c r="AE41" s="251"/>
      <c r="AF41" s="239"/>
      <c r="AG41" s="30"/>
      <c r="AH41" s="244"/>
      <c r="AI41" s="244"/>
      <c r="AJ41" s="245"/>
    </row>
    <row r="42" spans="1:36" s="39" customFormat="1" ht="25.5" x14ac:dyDescent="0.25">
      <c r="A42" s="270" t="s">
        <v>34</v>
      </c>
      <c r="B42" s="270" t="s">
        <v>11</v>
      </c>
      <c r="C42" s="271" t="s">
        <v>311</v>
      </c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3">
        <f t="shared" ref="Q42" si="7">R42+S42</f>
        <v>316979.81</v>
      </c>
      <c r="R42" s="273">
        <v>0</v>
      </c>
      <c r="S42" s="273">
        <f>SUM(X42)</f>
        <v>316979.81</v>
      </c>
      <c r="T42" s="24"/>
      <c r="U42" s="81"/>
      <c r="V42" s="239"/>
      <c r="W42" s="251"/>
      <c r="X42" s="239">
        <v>316979.81</v>
      </c>
      <c r="Y42" s="251"/>
      <c r="Z42" s="239"/>
      <c r="AA42" s="251"/>
      <c r="AB42" s="239"/>
      <c r="AC42" s="251"/>
      <c r="AD42" s="239"/>
      <c r="AE42" s="251"/>
      <c r="AF42" s="239"/>
      <c r="AG42" s="30"/>
      <c r="AH42" s="244"/>
      <c r="AI42" s="244"/>
      <c r="AJ42" s="245"/>
    </row>
    <row r="43" spans="1:36" s="39" customFormat="1" ht="25.5" x14ac:dyDescent="0.25">
      <c r="A43" s="31" t="s">
        <v>262</v>
      </c>
      <c r="B43" s="49" t="s">
        <v>8</v>
      </c>
      <c r="C43" s="50" t="s">
        <v>246</v>
      </c>
      <c r="D43" s="233"/>
      <c r="E43" s="93"/>
      <c r="F43" s="234"/>
      <c r="G43" s="93"/>
      <c r="H43" s="93"/>
      <c r="I43" s="93"/>
      <c r="J43" s="234"/>
      <c r="K43" s="93"/>
      <c r="L43" s="93"/>
      <c r="M43" s="93"/>
      <c r="N43" s="93"/>
      <c r="O43" s="93"/>
      <c r="P43" s="234"/>
      <c r="Q43" s="67">
        <f>SUM(Q44:Q56)</f>
        <v>1837235.5322291024</v>
      </c>
      <c r="R43" s="67">
        <f>SUM(R44:R54)</f>
        <v>0</v>
      </c>
      <c r="S43" s="67">
        <f>SUM(S44:S56)</f>
        <v>1837235.5322291024</v>
      </c>
      <c r="T43" s="232"/>
      <c r="U43" s="67"/>
      <c r="V43" s="238"/>
      <c r="W43" s="75"/>
      <c r="X43" s="238"/>
      <c r="Y43" s="75"/>
      <c r="Z43" s="238"/>
      <c r="AA43" s="75"/>
      <c r="AB43" s="238"/>
      <c r="AC43" s="75"/>
      <c r="AD43" s="238"/>
      <c r="AE43" s="75"/>
      <c r="AF43" s="238"/>
      <c r="AG43" s="265"/>
      <c r="AH43" s="246"/>
      <c r="AI43" s="244"/>
      <c r="AJ43" s="245"/>
    </row>
    <row r="44" spans="1:36" s="39" customFormat="1" ht="15" x14ac:dyDescent="0.25">
      <c r="A44" s="79" t="s">
        <v>263</v>
      </c>
      <c r="B44" s="28" t="s">
        <v>11</v>
      </c>
      <c r="C44" s="28" t="s">
        <v>247</v>
      </c>
      <c r="D44" s="79"/>
      <c r="E44" s="93"/>
      <c r="F44" s="234"/>
      <c r="G44" s="93"/>
      <c r="H44" s="93"/>
      <c r="I44" s="93"/>
      <c r="J44" s="234"/>
      <c r="K44" s="93"/>
      <c r="L44" s="93"/>
      <c r="M44" s="93"/>
      <c r="N44" s="93"/>
      <c r="O44" s="93"/>
      <c r="P44" s="234"/>
      <c r="Q44" s="81">
        <f>R44+S44</f>
        <v>195865.94</v>
      </c>
      <c r="R44" s="81">
        <v>0</v>
      </c>
      <c r="S44" s="81">
        <f>SUM(V44)</f>
        <v>195865.94</v>
      </c>
      <c r="T44" s="232"/>
      <c r="U44" s="81"/>
      <c r="V44" s="239">
        <v>195865.94</v>
      </c>
      <c r="W44" s="251"/>
      <c r="X44" s="239"/>
      <c r="Y44" s="251"/>
      <c r="Z44" s="239"/>
      <c r="AA44" s="251"/>
      <c r="AB44" s="239"/>
      <c r="AC44" s="251"/>
      <c r="AD44" s="239"/>
      <c r="AE44" s="251"/>
      <c r="AF44" s="239"/>
      <c r="AG44" s="265"/>
      <c r="AH44" s="246"/>
      <c r="AI44" s="244"/>
      <c r="AJ44" s="245"/>
    </row>
    <row r="45" spans="1:36" s="39" customFormat="1" ht="25.5" x14ac:dyDescent="0.25">
      <c r="A45" s="79" t="s">
        <v>264</v>
      </c>
      <c r="B45" s="28" t="s">
        <v>11</v>
      </c>
      <c r="C45" s="28" t="s">
        <v>269</v>
      </c>
      <c r="D45" s="79"/>
      <c r="E45" s="93"/>
      <c r="F45" s="234"/>
      <c r="G45" s="93"/>
      <c r="H45" s="93"/>
      <c r="I45" s="93"/>
      <c r="J45" s="234"/>
      <c r="K45" s="93"/>
      <c r="L45" s="93"/>
      <c r="M45" s="93"/>
      <c r="N45" s="93"/>
      <c r="O45" s="93"/>
      <c r="P45" s="234"/>
      <c r="Q45" s="81">
        <f t="shared" ref="Q45:Q56" si="8">R45+S45</f>
        <v>62655.519999999997</v>
      </c>
      <c r="R45" s="81">
        <v>0</v>
      </c>
      <c r="S45" s="81">
        <f>SUM(V45+X45)</f>
        <v>62655.519999999997</v>
      </c>
      <c r="T45" s="232"/>
      <c r="U45" s="81"/>
      <c r="V45" s="239">
        <v>36912.629999999997</v>
      </c>
      <c r="W45" s="251"/>
      <c r="X45" s="239">
        <v>25742.89</v>
      </c>
      <c r="Y45" s="251"/>
      <c r="Z45" s="239"/>
      <c r="AA45" s="251"/>
      <c r="AB45" s="239"/>
      <c r="AC45" s="251"/>
      <c r="AD45" s="239"/>
      <c r="AE45" s="251"/>
      <c r="AF45" s="239"/>
      <c r="AG45" s="265"/>
      <c r="AH45" s="246"/>
      <c r="AI45" s="244"/>
      <c r="AJ45" s="245"/>
    </row>
    <row r="46" spans="1:36" s="39" customFormat="1" ht="15" x14ac:dyDescent="0.25">
      <c r="A46" s="28" t="s">
        <v>38</v>
      </c>
      <c r="B46" s="28" t="s">
        <v>11</v>
      </c>
      <c r="C46" s="28" t="s">
        <v>294</v>
      </c>
      <c r="D46" s="29"/>
      <c r="E46" s="18"/>
      <c r="F46" s="30"/>
      <c r="G46" s="18"/>
      <c r="H46" s="18"/>
      <c r="I46" s="18"/>
      <c r="J46" s="30"/>
      <c r="K46" s="18"/>
      <c r="L46" s="18"/>
      <c r="M46" s="18"/>
      <c r="N46" s="18"/>
      <c r="O46" s="18"/>
      <c r="P46" s="30"/>
      <c r="Q46" s="69">
        <f t="shared" si="8"/>
        <v>240781.74117647062</v>
      </c>
      <c r="R46" s="69">
        <v>0</v>
      </c>
      <c r="S46" s="69">
        <f>818657.92/3.4</f>
        <v>240781.74117647062</v>
      </c>
      <c r="T46" s="232"/>
      <c r="U46" s="81"/>
      <c r="V46" s="239"/>
      <c r="W46" s="251"/>
      <c r="X46" s="239"/>
      <c r="Y46" s="251"/>
      <c r="Z46" s="239"/>
      <c r="AA46" s="251"/>
      <c r="AB46" s="239"/>
      <c r="AC46" s="251"/>
      <c r="AD46" s="239"/>
      <c r="AE46" s="251"/>
      <c r="AF46" s="239"/>
      <c r="AG46" s="246"/>
      <c r="AH46" s="246"/>
      <c r="AI46" s="244"/>
      <c r="AJ46" s="245"/>
    </row>
    <row r="47" spans="1:36" s="39" customFormat="1" ht="15" x14ac:dyDescent="0.25">
      <c r="A47" s="79" t="s">
        <v>265</v>
      </c>
      <c r="B47" s="225" t="s">
        <v>11</v>
      </c>
      <c r="C47" s="226" t="s">
        <v>250</v>
      </c>
      <c r="D47" s="233"/>
      <c r="E47" s="93"/>
      <c r="F47" s="234"/>
      <c r="G47" s="93"/>
      <c r="H47" s="93"/>
      <c r="I47" s="93"/>
      <c r="J47" s="234"/>
      <c r="K47" s="93"/>
      <c r="L47" s="93"/>
      <c r="M47" s="93"/>
      <c r="N47" s="93"/>
      <c r="O47" s="93"/>
      <c r="P47" s="234"/>
      <c r="Q47" s="81">
        <f t="shared" si="8"/>
        <v>6434.03</v>
      </c>
      <c r="R47" s="81">
        <v>0</v>
      </c>
      <c r="S47" s="81">
        <f>SUM(V47)</f>
        <v>6434.03</v>
      </c>
      <c r="T47" s="252"/>
      <c r="U47" s="81"/>
      <c r="V47" s="239">
        <v>6434.03</v>
      </c>
      <c r="W47" s="77"/>
      <c r="X47" s="239"/>
      <c r="Y47" s="251"/>
      <c r="Z47" s="239"/>
      <c r="AA47" s="251"/>
      <c r="AB47" s="239"/>
      <c r="AC47" s="251"/>
      <c r="AD47" s="239"/>
      <c r="AE47" s="251"/>
      <c r="AF47" s="239"/>
      <c r="AG47" s="246"/>
      <c r="AH47" s="246"/>
      <c r="AI47" s="244"/>
      <c r="AJ47" s="245"/>
    </row>
    <row r="48" spans="1:36" s="39" customFormat="1" ht="15" x14ac:dyDescent="0.25">
      <c r="A48" s="79" t="s">
        <v>289</v>
      </c>
      <c r="B48" s="225" t="s">
        <v>11</v>
      </c>
      <c r="C48" s="226" t="s">
        <v>251</v>
      </c>
      <c r="D48" s="225"/>
      <c r="E48" s="236"/>
      <c r="F48" s="233"/>
      <c r="G48" s="93"/>
      <c r="H48" s="234"/>
      <c r="I48" s="93"/>
      <c r="J48" s="93"/>
      <c r="K48" s="93"/>
      <c r="L48" s="234"/>
      <c r="M48" s="93"/>
      <c r="N48" s="93"/>
      <c r="O48" s="93"/>
      <c r="P48" s="93"/>
      <c r="Q48" s="81">
        <f t="shared" ref="Q48:Q49" si="9">R48+S48</f>
        <v>34629.78</v>
      </c>
      <c r="R48" s="81">
        <v>0</v>
      </c>
      <c r="S48" s="81">
        <f>SUM(V48)</f>
        <v>34629.78</v>
      </c>
      <c r="T48" s="252"/>
      <c r="U48" s="81"/>
      <c r="V48" s="239">
        <v>34629.78</v>
      </c>
      <c r="W48" s="77"/>
      <c r="X48" s="239"/>
      <c r="Y48" s="251"/>
      <c r="Z48" s="239"/>
      <c r="AA48" s="251"/>
      <c r="AB48" s="239"/>
      <c r="AC48" s="251"/>
      <c r="AD48" s="239"/>
      <c r="AE48" s="251"/>
      <c r="AF48" s="239"/>
      <c r="AG48" s="246"/>
      <c r="AH48" s="246"/>
      <c r="AI48" s="244"/>
      <c r="AJ48" s="245"/>
    </row>
    <row r="49" spans="1:51" s="39" customFormat="1" ht="25.5" x14ac:dyDescent="0.25">
      <c r="A49" s="79" t="s">
        <v>290</v>
      </c>
      <c r="B49" s="225" t="s">
        <v>11</v>
      </c>
      <c r="C49" s="226" t="s">
        <v>293</v>
      </c>
      <c r="D49" s="225"/>
      <c r="E49" s="236"/>
      <c r="F49" s="233"/>
      <c r="G49" s="93"/>
      <c r="H49" s="234"/>
      <c r="I49" s="93"/>
      <c r="J49" s="93"/>
      <c r="K49" s="93"/>
      <c r="L49" s="234"/>
      <c r="M49" s="93"/>
      <c r="N49" s="93"/>
      <c r="O49" s="93"/>
      <c r="P49" s="93"/>
      <c r="Q49" s="81">
        <f t="shared" si="9"/>
        <v>174073.86</v>
      </c>
      <c r="R49" s="81">
        <v>0</v>
      </c>
      <c r="S49" s="81">
        <f>SUM(X49)</f>
        <v>174073.86</v>
      </c>
      <c r="T49" s="252"/>
      <c r="U49" s="81"/>
      <c r="V49" s="239"/>
      <c r="W49" s="77"/>
      <c r="X49" s="239">
        <v>174073.86</v>
      </c>
      <c r="Y49" s="251"/>
      <c r="Z49" s="239"/>
      <c r="AA49" s="251"/>
      <c r="AB49" s="239"/>
      <c r="AC49" s="251"/>
      <c r="AD49" s="239"/>
      <c r="AE49" s="251"/>
      <c r="AF49" s="239"/>
      <c r="AG49" s="246"/>
      <c r="AH49" s="246"/>
      <c r="AI49" s="244"/>
      <c r="AJ49" s="245"/>
    </row>
    <row r="50" spans="1:51" s="39" customFormat="1" ht="25.5" x14ac:dyDescent="0.25">
      <c r="A50" s="79" t="s">
        <v>295</v>
      </c>
      <c r="B50" s="225" t="s">
        <v>11</v>
      </c>
      <c r="C50" s="226" t="s">
        <v>300</v>
      </c>
      <c r="D50" s="225"/>
      <c r="E50" s="236"/>
      <c r="F50" s="233"/>
      <c r="G50" s="93"/>
      <c r="H50" s="234"/>
      <c r="I50" s="93"/>
      <c r="J50" s="93"/>
      <c r="K50" s="93"/>
      <c r="L50" s="234"/>
      <c r="M50" s="93"/>
      <c r="N50" s="93"/>
      <c r="O50" s="93"/>
      <c r="P50" s="93"/>
      <c r="Q50" s="81">
        <f t="shared" si="8"/>
        <v>16087.74</v>
      </c>
      <c r="R50" s="81">
        <v>0</v>
      </c>
      <c r="S50" s="81">
        <f>SUM(X50)</f>
        <v>16087.74</v>
      </c>
      <c r="T50" s="252"/>
      <c r="U50" s="81"/>
      <c r="V50" s="239"/>
      <c r="W50" s="77"/>
      <c r="X50" s="239">
        <v>16087.74</v>
      </c>
      <c r="Y50" s="251"/>
      <c r="Z50" s="239"/>
      <c r="AA50" s="251"/>
      <c r="AB50" s="239"/>
      <c r="AC50" s="251"/>
      <c r="AD50" s="239"/>
      <c r="AE50" s="251"/>
      <c r="AF50" s="239"/>
      <c r="AG50" s="246"/>
      <c r="AH50" s="246"/>
      <c r="AI50" s="244"/>
      <c r="AJ50" s="245"/>
    </row>
    <row r="51" spans="1:51" s="39" customFormat="1" ht="25.5" x14ac:dyDescent="0.25">
      <c r="A51" s="79" t="s">
        <v>304</v>
      </c>
      <c r="B51" s="225" t="s">
        <v>11</v>
      </c>
      <c r="C51" s="226" t="s">
        <v>303</v>
      </c>
      <c r="D51" s="268"/>
      <c r="E51" s="236"/>
      <c r="F51" s="269"/>
      <c r="G51" s="93"/>
      <c r="H51" s="234"/>
      <c r="I51" s="93"/>
      <c r="J51" s="267"/>
      <c r="K51" s="93"/>
      <c r="L51" s="234"/>
      <c r="M51" s="93"/>
      <c r="N51" s="93"/>
      <c r="O51" s="93"/>
      <c r="P51" s="267"/>
      <c r="Q51" s="81">
        <f t="shared" si="8"/>
        <v>433839.77</v>
      </c>
      <c r="R51" s="81">
        <v>0</v>
      </c>
      <c r="S51" s="81">
        <f>SUM(X51)</f>
        <v>433839.77</v>
      </c>
      <c r="T51" s="246"/>
      <c r="U51" s="81"/>
      <c r="V51" s="239"/>
      <c r="W51" s="251"/>
      <c r="X51" s="239">
        <v>433839.77</v>
      </c>
      <c r="Y51" s="251"/>
      <c r="Z51" s="239"/>
      <c r="AA51" s="251"/>
      <c r="AB51" s="239"/>
      <c r="AC51" s="251"/>
      <c r="AD51" s="239"/>
      <c r="AE51" s="251"/>
      <c r="AF51" s="239"/>
      <c r="AG51" s="246"/>
      <c r="AH51" s="246"/>
      <c r="AI51" s="244"/>
      <c r="AJ51" s="245"/>
    </row>
    <row r="52" spans="1:51" s="39" customFormat="1" ht="15" x14ac:dyDescent="0.25">
      <c r="A52" s="79" t="s">
        <v>307</v>
      </c>
      <c r="B52" s="225" t="s">
        <v>11</v>
      </c>
      <c r="C52" s="226" t="s">
        <v>306</v>
      </c>
      <c r="D52" s="268"/>
      <c r="E52" s="236"/>
      <c r="F52" s="269"/>
      <c r="G52" s="93"/>
      <c r="H52" s="234"/>
      <c r="I52" s="93"/>
      <c r="J52" s="267"/>
      <c r="K52" s="93"/>
      <c r="L52" s="234"/>
      <c r="M52" s="93"/>
      <c r="N52" s="93"/>
      <c r="O52" s="93"/>
      <c r="P52" s="267"/>
      <c r="Q52" s="81">
        <f t="shared" si="8"/>
        <v>107570.60526315789</v>
      </c>
      <c r="R52" s="81">
        <v>0</v>
      </c>
      <c r="S52" s="81">
        <f>408768.3/3.8</f>
        <v>107570.60526315789</v>
      </c>
      <c r="T52" s="246"/>
      <c r="U52" s="81"/>
      <c r="V52" s="239"/>
      <c r="W52" s="251"/>
      <c r="X52" s="239">
        <v>107570.61</v>
      </c>
      <c r="Y52" s="251"/>
      <c r="Z52" s="239"/>
      <c r="AA52" s="251"/>
      <c r="AB52" s="239"/>
      <c r="AC52" s="251"/>
      <c r="AD52" s="239"/>
      <c r="AE52" s="251"/>
      <c r="AF52" s="239"/>
      <c r="AG52" s="246"/>
      <c r="AH52" s="246"/>
      <c r="AI52" s="244"/>
      <c r="AJ52" s="245"/>
    </row>
    <row r="53" spans="1:51" s="39" customFormat="1" ht="25.5" x14ac:dyDescent="0.25">
      <c r="A53" s="79" t="s">
        <v>310</v>
      </c>
      <c r="B53" s="225" t="s">
        <v>11</v>
      </c>
      <c r="C53" s="226" t="s">
        <v>309</v>
      </c>
      <c r="D53" s="268"/>
      <c r="E53" s="236"/>
      <c r="F53" s="269"/>
      <c r="G53" s="93"/>
      <c r="H53" s="234"/>
      <c r="I53" s="93"/>
      <c r="J53" s="267"/>
      <c r="K53" s="93"/>
      <c r="L53" s="234"/>
      <c r="M53" s="93"/>
      <c r="N53" s="93"/>
      <c r="O53" s="93"/>
      <c r="P53" s="267"/>
      <c r="Q53" s="81">
        <f t="shared" si="8"/>
        <v>302038.66578947369</v>
      </c>
      <c r="R53" s="81">
        <v>0</v>
      </c>
      <c r="S53" s="81">
        <f>1147746.93/3.8</f>
        <v>302038.66578947369</v>
      </c>
      <c r="T53" s="246"/>
      <c r="U53" s="81"/>
      <c r="V53" s="239"/>
      <c r="W53" s="251"/>
      <c r="X53" s="239">
        <v>302038.67</v>
      </c>
      <c r="Y53" s="251"/>
      <c r="Z53" s="239"/>
      <c r="AA53" s="251"/>
      <c r="AB53" s="239"/>
      <c r="AC53" s="251"/>
      <c r="AD53" s="239"/>
      <c r="AE53" s="251"/>
      <c r="AF53" s="239"/>
      <c r="AG53" s="246"/>
      <c r="AH53" s="246"/>
      <c r="AI53" s="244"/>
      <c r="AJ53" s="245"/>
    </row>
    <row r="54" spans="1:51" s="39" customFormat="1" ht="25.5" x14ac:dyDescent="0.25">
      <c r="A54" s="79" t="s">
        <v>314</v>
      </c>
      <c r="B54" s="225" t="s">
        <v>11</v>
      </c>
      <c r="C54" s="226" t="s">
        <v>313</v>
      </c>
      <c r="D54" s="268"/>
      <c r="E54" s="236"/>
      <c r="F54" s="269"/>
      <c r="G54" s="93"/>
      <c r="H54" s="234"/>
      <c r="I54" s="93"/>
      <c r="J54" s="267"/>
      <c r="K54" s="93"/>
      <c r="L54" s="234"/>
      <c r="M54" s="93"/>
      <c r="N54" s="93"/>
      <c r="O54" s="93"/>
      <c r="P54" s="267"/>
      <c r="Q54" s="81">
        <f t="shared" si="8"/>
        <v>154899.05000000002</v>
      </c>
      <c r="R54" s="81">
        <v>0</v>
      </c>
      <c r="S54" s="81">
        <f>588616.39/3.8</f>
        <v>154899.05000000002</v>
      </c>
      <c r="T54" s="246"/>
      <c r="U54" s="81"/>
      <c r="V54" s="239"/>
      <c r="W54" s="251"/>
      <c r="X54" s="239">
        <v>154899.04999999999</v>
      </c>
      <c r="Y54" s="251"/>
      <c r="Z54" s="239"/>
      <c r="AA54" s="251"/>
      <c r="AB54" s="239"/>
      <c r="AC54" s="251"/>
      <c r="AD54" s="239"/>
      <c r="AE54" s="251"/>
      <c r="AF54" s="239"/>
      <c r="AG54" s="246"/>
      <c r="AH54" s="246"/>
      <c r="AI54" s="244"/>
      <c r="AJ54" s="245"/>
    </row>
    <row r="55" spans="1:51" s="39" customFormat="1" ht="25.5" x14ac:dyDescent="0.25">
      <c r="A55" s="79" t="s">
        <v>301</v>
      </c>
      <c r="B55" s="225" t="s">
        <v>11</v>
      </c>
      <c r="C55" s="226" t="s">
        <v>324</v>
      </c>
      <c r="D55" s="268"/>
      <c r="E55" s="236"/>
      <c r="F55" s="269"/>
      <c r="G55" s="93"/>
      <c r="H55" s="234"/>
      <c r="I55" s="93"/>
      <c r="J55" s="267"/>
      <c r="K55" s="93"/>
      <c r="L55" s="234"/>
      <c r="M55" s="93"/>
      <c r="N55" s="93"/>
      <c r="O55" s="93"/>
      <c r="P55" s="267"/>
      <c r="Q55" s="81">
        <f t="shared" si="8"/>
        <v>16267.75</v>
      </c>
      <c r="R55" s="81">
        <v>0</v>
      </c>
      <c r="S55" s="81">
        <v>16267.75</v>
      </c>
      <c r="T55" s="246"/>
      <c r="U55" s="81"/>
      <c r="V55" s="239"/>
      <c r="W55" s="251"/>
      <c r="X55" s="239">
        <v>16267.75</v>
      </c>
      <c r="Y55" s="251"/>
      <c r="Z55" s="239"/>
      <c r="AA55" s="251"/>
      <c r="AB55" s="239"/>
      <c r="AC55" s="251"/>
      <c r="AD55" s="239"/>
      <c r="AE55" s="251"/>
      <c r="AF55" s="239"/>
      <c r="AG55" s="246"/>
      <c r="AH55" s="246"/>
      <c r="AI55" s="244"/>
      <c r="AJ55" s="245"/>
    </row>
    <row r="56" spans="1:51" s="39" customFormat="1" ht="25.5" x14ac:dyDescent="0.25">
      <c r="A56" s="79" t="s">
        <v>302</v>
      </c>
      <c r="B56" s="225" t="s">
        <v>11</v>
      </c>
      <c r="C56" s="226" t="s">
        <v>325</v>
      </c>
      <c r="D56" s="268"/>
      <c r="E56" s="236"/>
      <c r="F56" s="269"/>
      <c r="G56" s="93"/>
      <c r="H56" s="234"/>
      <c r="I56" s="93"/>
      <c r="J56" s="267"/>
      <c r="K56" s="93"/>
      <c r="L56" s="234"/>
      <c r="M56" s="93"/>
      <c r="N56" s="93"/>
      <c r="O56" s="93"/>
      <c r="P56" s="267"/>
      <c r="Q56" s="81">
        <f t="shared" si="8"/>
        <v>92091.08</v>
      </c>
      <c r="R56" s="81"/>
      <c r="S56" s="81">
        <v>92091.08</v>
      </c>
      <c r="T56" s="246"/>
      <c r="U56" s="81"/>
      <c r="V56" s="239"/>
      <c r="W56" s="251"/>
      <c r="X56" s="239">
        <v>92091.08</v>
      </c>
      <c r="Y56" s="251"/>
      <c r="Z56" s="239"/>
      <c r="AA56" s="251"/>
      <c r="AB56" s="239"/>
      <c r="AC56" s="251"/>
      <c r="AD56" s="239"/>
      <c r="AE56" s="251"/>
      <c r="AF56" s="239"/>
      <c r="AG56" s="246"/>
      <c r="AH56" s="246"/>
      <c r="AI56" s="244"/>
      <c r="AJ56" s="245"/>
    </row>
    <row r="57" spans="1:51" s="39" customFormat="1" ht="25.5" x14ac:dyDescent="0.25">
      <c r="A57" s="62">
        <v>1.05</v>
      </c>
      <c r="B57" s="62" t="s">
        <v>27</v>
      </c>
      <c r="C57" s="63" t="s">
        <v>221</v>
      </c>
      <c r="D57" s="64"/>
      <c r="E57" s="65"/>
      <c r="F57" s="66"/>
      <c r="G57" s="65"/>
      <c r="H57" s="65"/>
      <c r="I57" s="65"/>
      <c r="J57" s="66"/>
      <c r="K57" s="65"/>
      <c r="L57" s="65"/>
      <c r="M57" s="65"/>
      <c r="N57" s="65"/>
      <c r="O57" s="65"/>
      <c r="P57" s="66"/>
      <c r="Q57" s="72">
        <f>Q58+Q63</f>
        <v>346173.87368421053</v>
      </c>
      <c r="R57" s="72">
        <f>R58+R63</f>
        <v>0</v>
      </c>
      <c r="S57" s="72">
        <f>S58+S63</f>
        <v>346173.87368421053</v>
      </c>
      <c r="T57" s="252"/>
      <c r="U57" s="72"/>
      <c r="V57" s="263"/>
      <c r="W57" s="258"/>
      <c r="X57" s="263"/>
      <c r="Y57" s="258"/>
      <c r="Z57" s="263"/>
      <c r="AA57" s="258"/>
      <c r="AB57" s="263"/>
      <c r="AC57" s="258"/>
      <c r="AD57" s="263"/>
      <c r="AE57" s="258"/>
      <c r="AF57" s="263"/>
      <c r="AG57" s="246"/>
      <c r="AH57" s="246"/>
      <c r="AI57" s="244"/>
      <c r="AJ57" s="245"/>
    </row>
    <row r="58" spans="1:51" s="39" customFormat="1" ht="25.5" x14ac:dyDescent="0.25">
      <c r="A58" s="31" t="s">
        <v>40</v>
      </c>
      <c r="B58" s="49" t="s">
        <v>8</v>
      </c>
      <c r="C58" s="31" t="s">
        <v>228</v>
      </c>
      <c r="D58" s="51"/>
      <c r="E58" s="13"/>
      <c r="F58" s="30"/>
      <c r="G58" s="13"/>
      <c r="H58" s="13"/>
      <c r="I58" s="13"/>
      <c r="J58" s="30"/>
      <c r="K58" s="13"/>
      <c r="L58" s="13"/>
      <c r="M58" s="13"/>
      <c r="N58" s="13"/>
      <c r="O58" s="13"/>
      <c r="P58" s="30"/>
      <c r="Q58" s="67">
        <f>SUM(Q59:Q62)</f>
        <v>152290.51</v>
      </c>
      <c r="R58" s="67">
        <f>SUM(R59:R62)</f>
        <v>0</v>
      </c>
      <c r="S58" s="253">
        <f>SUM(S59:S62)</f>
        <v>152290.51</v>
      </c>
      <c r="T58" s="246"/>
      <c r="U58" s="68"/>
      <c r="V58" s="264"/>
      <c r="W58" s="259"/>
      <c r="X58" s="264"/>
      <c r="Y58" s="259"/>
      <c r="Z58" s="264"/>
      <c r="AA58" s="259"/>
      <c r="AB58" s="264"/>
      <c r="AC58" s="259"/>
      <c r="AD58" s="264"/>
      <c r="AE58" s="259"/>
      <c r="AF58" s="264"/>
      <c r="AG58" s="24"/>
      <c r="AH58" s="244"/>
      <c r="AI58" s="244"/>
      <c r="AJ58" s="244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51" s="40" customFormat="1" ht="25.5" x14ac:dyDescent="0.25">
      <c r="A59" s="79" t="s">
        <v>271</v>
      </c>
      <c r="B59" s="28" t="s">
        <v>11</v>
      </c>
      <c r="C59" s="28" t="s">
        <v>268</v>
      </c>
      <c r="D59" s="29"/>
      <c r="E59" s="18"/>
      <c r="F59" s="24"/>
      <c r="G59" s="18"/>
      <c r="H59" s="18"/>
      <c r="I59" s="18"/>
      <c r="J59" s="24"/>
      <c r="K59" s="18"/>
      <c r="L59" s="18"/>
      <c r="M59" s="18"/>
      <c r="N59" s="18"/>
      <c r="O59" s="18"/>
      <c r="P59" s="24"/>
      <c r="Q59" s="69">
        <f t="shared" ref="Q59:Q60" si="10">R59+S59</f>
        <v>37218.639999999999</v>
      </c>
      <c r="R59" s="69">
        <v>0</v>
      </c>
      <c r="S59" s="69">
        <f>SUM(V59+X59)</f>
        <v>37218.639999999999</v>
      </c>
      <c r="T59" s="246"/>
      <c r="U59" s="69"/>
      <c r="V59" s="239">
        <v>17807.7</v>
      </c>
      <c r="W59" s="77"/>
      <c r="X59" s="239">
        <v>19410.939999999999</v>
      </c>
      <c r="Y59" s="77"/>
      <c r="Z59" s="239"/>
      <c r="AA59" s="77"/>
      <c r="AB59" s="239"/>
      <c r="AC59" s="77"/>
      <c r="AD59" s="239"/>
      <c r="AE59" s="77"/>
      <c r="AF59" s="239"/>
      <c r="AG59" s="30"/>
      <c r="AH59" s="247"/>
      <c r="AI59" s="247"/>
      <c r="AJ59" s="247"/>
    </row>
    <row r="60" spans="1:51" s="40" customFormat="1" ht="15" x14ac:dyDescent="0.25">
      <c r="A60" s="79" t="s">
        <v>272</v>
      </c>
      <c r="B60" s="28" t="s">
        <v>11</v>
      </c>
      <c r="C60" s="28" t="s">
        <v>270</v>
      </c>
      <c r="D60" s="29"/>
      <c r="E60" s="18"/>
      <c r="F60" s="30"/>
      <c r="G60" s="18"/>
      <c r="H60" s="18"/>
      <c r="I60" s="18"/>
      <c r="J60" s="30"/>
      <c r="K60" s="18"/>
      <c r="L60" s="18"/>
      <c r="M60" s="18"/>
      <c r="N60" s="18"/>
      <c r="O60" s="18"/>
      <c r="P60" s="30"/>
      <c r="Q60" s="69">
        <f t="shared" si="10"/>
        <v>46699.4</v>
      </c>
      <c r="R60" s="69">
        <v>0</v>
      </c>
      <c r="S60" s="69">
        <f>SUM(V60+X60)</f>
        <v>46699.4</v>
      </c>
      <c r="T60" s="246"/>
      <c r="U60" s="69"/>
      <c r="V60" s="239">
        <v>7407.07</v>
      </c>
      <c r="W60" s="77"/>
      <c r="X60" s="239">
        <v>39292.33</v>
      </c>
      <c r="Y60" s="77"/>
      <c r="Z60" s="239"/>
      <c r="AA60" s="77"/>
      <c r="AB60" s="239"/>
      <c r="AC60" s="77"/>
      <c r="AD60" s="239"/>
      <c r="AE60" s="77"/>
      <c r="AF60" s="239"/>
      <c r="AG60" s="30"/>
      <c r="AH60" s="247"/>
      <c r="AI60" s="247"/>
      <c r="AJ60" s="247"/>
    </row>
    <row r="61" spans="1:51" s="40" customFormat="1" ht="15" x14ac:dyDescent="0.25">
      <c r="A61" s="79" t="s">
        <v>273</v>
      </c>
      <c r="B61" s="28" t="s">
        <v>11</v>
      </c>
      <c r="C61" s="28" t="s">
        <v>260</v>
      </c>
      <c r="D61" s="233"/>
      <c r="E61" s="93"/>
      <c r="F61" s="234"/>
      <c r="G61" s="93"/>
      <c r="H61" s="93"/>
      <c r="I61" s="93"/>
      <c r="J61" s="234"/>
      <c r="K61" s="93"/>
      <c r="L61" s="93"/>
      <c r="M61" s="93"/>
      <c r="N61" s="93"/>
      <c r="O61" s="93"/>
      <c r="P61" s="66"/>
      <c r="Q61" s="81">
        <f>R61+S61</f>
        <v>40825.89</v>
      </c>
      <c r="R61" s="81">
        <v>0</v>
      </c>
      <c r="S61" s="81">
        <f>SUM(V61)</f>
        <v>40825.89</v>
      </c>
      <c r="T61" s="246"/>
      <c r="U61" s="81"/>
      <c r="V61" s="239">
        <v>40825.89</v>
      </c>
      <c r="W61" s="251"/>
      <c r="X61" s="239"/>
      <c r="Y61" s="251"/>
      <c r="Z61" s="239"/>
      <c r="AA61" s="251"/>
      <c r="AB61" s="239"/>
      <c r="AC61" s="251"/>
      <c r="AD61" s="239"/>
      <c r="AE61" s="251"/>
      <c r="AF61" s="239"/>
      <c r="AG61" s="30"/>
    </row>
    <row r="62" spans="1:51" s="39" customFormat="1" ht="25.5" x14ac:dyDescent="0.25">
      <c r="A62" s="270" t="s">
        <v>34</v>
      </c>
      <c r="B62" s="270" t="s">
        <v>11</v>
      </c>
      <c r="C62" s="271" t="s">
        <v>311</v>
      </c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3">
        <f t="shared" ref="Q62" si="11">R62+S62</f>
        <v>27546.58</v>
      </c>
      <c r="R62" s="273">
        <v>0</v>
      </c>
      <c r="S62" s="273">
        <f>SUM(X62)</f>
        <v>27546.58</v>
      </c>
      <c r="T62" s="24"/>
      <c r="U62" s="81"/>
      <c r="V62" s="239"/>
      <c r="W62" s="251"/>
      <c r="X62" s="239">
        <v>27546.58</v>
      </c>
      <c r="Y62" s="251"/>
      <c r="Z62" s="239"/>
      <c r="AA62" s="251"/>
      <c r="AB62" s="239"/>
      <c r="AC62" s="251"/>
      <c r="AD62" s="239"/>
      <c r="AE62" s="251"/>
      <c r="AF62" s="239"/>
      <c r="AG62" s="24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s="39" customFormat="1" ht="25.5" x14ac:dyDescent="0.25">
      <c r="A63" s="31" t="s">
        <v>274</v>
      </c>
      <c r="B63" s="49" t="s">
        <v>8</v>
      </c>
      <c r="C63" s="50" t="s">
        <v>246</v>
      </c>
      <c r="D63" s="233"/>
      <c r="E63" s="93"/>
      <c r="F63" s="234"/>
      <c r="G63" s="93"/>
      <c r="H63" s="93"/>
      <c r="I63" s="93"/>
      <c r="J63" s="234"/>
      <c r="K63" s="93"/>
      <c r="L63" s="93"/>
      <c r="M63" s="93"/>
      <c r="N63" s="93"/>
      <c r="O63" s="93"/>
      <c r="P63" s="234"/>
      <c r="Q63" s="67">
        <f>SUM(Q64:Q75)</f>
        <v>193883.36368421052</v>
      </c>
      <c r="R63" s="67">
        <f>SUM(R64:R74)</f>
        <v>0</v>
      </c>
      <c r="S63" s="67">
        <f>SUM(S64:S75)</f>
        <v>193883.36368421052</v>
      </c>
      <c r="T63" s="246"/>
      <c r="U63" s="68"/>
      <c r="V63" s="264"/>
      <c r="W63" s="259"/>
      <c r="X63" s="264"/>
      <c r="Y63" s="259"/>
      <c r="Z63" s="264"/>
      <c r="AA63" s="259"/>
      <c r="AB63" s="264"/>
      <c r="AC63" s="259"/>
      <c r="AD63" s="264"/>
      <c r="AE63" s="259"/>
      <c r="AF63" s="264"/>
      <c r="AG63" s="24"/>
    </row>
    <row r="64" spans="1:51" s="39" customFormat="1" ht="15" x14ac:dyDescent="0.25">
      <c r="A64" s="79" t="s">
        <v>275</v>
      </c>
      <c r="B64" s="28" t="s">
        <v>11</v>
      </c>
      <c r="C64" s="28" t="s">
        <v>247</v>
      </c>
      <c r="D64" s="79"/>
      <c r="E64" s="93"/>
      <c r="F64" s="234"/>
      <c r="G64" s="93"/>
      <c r="H64" s="93"/>
      <c r="I64" s="93"/>
      <c r="J64" s="234"/>
      <c r="K64" s="93"/>
      <c r="L64" s="93"/>
      <c r="M64" s="93"/>
      <c r="N64" s="93"/>
      <c r="O64" s="93"/>
      <c r="P64" s="234"/>
      <c r="Q64" s="81">
        <f>R64+S64</f>
        <v>40617.360000000001</v>
      </c>
      <c r="R64" s="81">
        <v>0</v>
      </c>
      <c r="S64" s="81">
        <f>SUM(V64)</f>
        <v>40617.360000000001</v>
      </c>
      <c r="T64" s="246"/>
      <c r="U64" s="81"/>
      <c r="V64" s="239">
        <v>40617.360000000001</v>
      </c>
      <c r="W64" s="251"/>
      <c r="X64" s="239"/>
      <c r="Y64" s="251"/>
      <c r="Z64" s="239"/>
      <c r="AA64" s="251"/>
      <c r="AB64" s="239"/>
      <c r="AC64" s="251"/>
      <c r="AD64" s="239"/>
      <c r="AE64" s="251"/>
      <c r="AF64" s="239"/>
      <c r="AG64" s="30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51" s="39" customFormat="1" ht="25.5" x14ac:dyDescent="0.25">
      <c r="A65" s="79" t="s">
        <v>276</v>
      </c>
      <c r="B65" s="28" t="s">
        <v>11</v>
      </c>
      <c r="C65" s="28" t="s">
        <v>269</v>
      </c>
      <c r="D65" s="79"/>
      <c r="E65" s="93"/>
      <c r="F65" s="234"/>
      <c r="G65" s="93"/>
      <c r="H65" s="93"/>
      <c r="I65" s="93"/>
      <c r="J65" s="234"/>
      <c r="K65" s="93"/>
      <c r="L65" s="93"/>
      <c r="M65" s="93"/>
      <c r="N65" s="93"/>
      <c r="O65" s="93"/>
      <c r="P65" s="234"/>
      <c r="Q65" s="81">
        <f t="shared" ref="Q65:Q75" si="12">R65+S65</f>
        <v>5030.74</v>
      </c>
      <c r="R65" s="81">
        <v>0</v>
      </c>
      <c r="S65" s="81">
        <f>SUM(V65+X65)</f>
        <v>5030.74</v>
      </c>
      <c r="T65" s="246"/>
      <c r="U65" s="81"/>
      <c r="V65" s="239">
        <v>2963.79</v>
      </c>
      <c r="W65" s="251"/>
      <c r="X65" s="239">
        <v>2066.9499999999998</v>
      </c>
      <c r="Y65" s="251"/>
      <c r="Z65" s="239"/>
      <c r="AA65" s="251"/>
      <c r="AB65" s="239"/>
      <c r="AC65" s="251"/>
      <c r="AD65" s="239"/>
      <c r="AE65" s="251"/>
      <c r="AF65" s="239"/>
      <c r="AG65" s="24"/>
    </row>
    <row r="66" spans="1:51" s="39" customFormat="1" ht="42" customHeight="1" x14ac:dyDescent="0.25">
      <c r="A66" s="28" t="s">
        <v>38</v>
      </c>
      <c r="B66" s="28" t="s">
        <v>11</v>
      </c>
      <c r="C66" s="28" t="s">
        <v>294</v>
      </c>
      <c r="D66" s="29"/>
      <c r="E66" s="18"/>
      <c r="F66" s="30"/>
      <c r="G66" s="18"/>
      <c r="H66" s="18"/>
      <c r="I66" s="18"/>
      <c r="J66" s="30"/>
      <c r="K66" s="18"/>
      <c r="L66" s="18"/>
      <c r="M66" s="18"/>
      <c r="N66" s="18"/>
      <c r="O66" s="18"/>
      <c r="P66" s="30"/>
      <c r="Q66" s="69">
        <f t="shared" si="12"/>
        <v>15681.426315789475</v>
      </c>
      <c r="R66" s="69">
        <v>0</v>
      </c>
      <c r="S66" s="69">
        <f>59589.42/3.8</f>
        <v>15681.426315789475</v>
      </c>
      <c r="T66" s="232"/>
      <c r="U66" s="81"/>
      <c r="V66" s="239"/>
      <c r="W66" s="251"/>
      <c r="X66" s="239">
        <v>15681.43</v>
      </c>
      <c r="Y66" s="251"/>
      <c r="Z66" s="239"/>
      <c r="AA66" s="251"/>
      <c r="AB66" s="239"/>
      <c r="AC66" s="251"/>
      <c r="AD66" s="239"/>
      <c r="AE66" s="251"/>
      <c r="AF66" s="239"/>
      <c r="AG66" s="24"/>
    </row>
    <row r="67" spans="1:51" s="39" customFormat="1" ht="15" x14ac:dyDescent="0.25">
      <c r="A67" s="79" t="s">
        <v>277</v>
      </c>
      <c r="B67" s="225" t="s">
        <v>11</v>
      </c>
      <c r="C67" s="226" t="s">
        <v>250</v>
      </c>
      <c r="D67" s="233"/>
      <c r="E67" s="93"/>
      <c r="F67" s="234"/>
      <c r="G67" s="93"/>
      <c r="H67" s="93"/>
      <c r="I67" s="93"/>
      <c r="J67" s="234"/>
      <c r="K67" s="93"/>
      <c r="L67" s="93"/>
      <c r="M67" s="93"/>
      <c r="N67" s="93"/>
      <c r="O67" s="93"/>
      <c r="P67" s="234"/>
      <c r="Q67" s="81">
        <f t="shared" si="12"/>
        <v>2549.33</v>
      </c>
      <c r="R67" s="81">
        <v>0</v>
      </c>
      <c r="S67" s="81">
        <f>SUM(V67)</f>
        <v>2549.33</v>
      </c>
      <c r="T67" s="246"/>
      <c r="U67" s="81"/>
      <c r="V67" s="239">
        <v>2549.33</v>
      </c>
      <c r="W67" s="251"/>
      <c r="X67" s="239"/>
      <c r="Y67" s="251"/>
      <c r="Z67" s="239"/>
      <c r="AA67" s="251"/>
      <c r="AB67" s="239"/>
      <c r="AC67" s="251"/>
      <c r="AD67" s="239"/>
      <c r="AE67" s="251"/>
      <c r="AF67" s="239"/>
      <c r="AG67" s="24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51" s="39" customFormat="1" ht="15" x14ac:dyDescent="0.25">
      <c r="A68" s="79" t="s">
        <v>288</v>
      </c>
      <c r="B68" s="225" t="s">
        <v>11</v>
      </c>
      <c r="C68" s="226" t="s">
        <v>251</v>
      </c>
      <c r="D68" s="225"/>
      <c r="E68" s="236"/>
      <c r="F68" s="233"/>
      <c r="G68" s="93"/>
      <c r="H68" s="234"/>
      <c r="I68" s="93"/>
      <c r="J68" s="93"/>
      <c r="K68" s="93"/>
      <c r="L68" s="234"/>
      <c r="M68" s="93"/>
      <c r="N68" s="93"/>
      <c r="O68" s="93"/>
      <c r="P68" s="93"/>
      <c r="Q68" s="81">
        <f t="shared" ref="Q68:Q69" si="13">R68+S68</f>
        <v>11144.85</v>
      </c>
      <c r="R68" s="81">
        <v>0</v>
      </c>
      <c r="S68" s="81">
        <f>SUM(V68)</f>
        <v>11144.85</v>
      </c>
      <c r="T68" s="252"/>
      <c r="U68" s="81"/>
      <c r="V68" s="239">
        <v>11144.85</v>
      </c>
      <c r="W68" s="77"/>
      <c r="X68" s="239"/>
      <c r="Y68" s="251"/>
      <c r="Z68" s="239"/>
      <c r="AA68" s="251"/>
      <c r="AB68" s="239"/>
      <c r="AC68" s="251"/>
      <c r="AD68" s="239"/>
      <c r="AE68" s="251"/>
      <c r="AF68" s="239"/>
      <c r="AG68" s="24"/>
    </row>
    <row r="69" spans="1:51" s="39" customFormat="1" ht="25.5" x14ac:dyDescent="0.25">
      <c r="A69" s="79" t="s">
        <v>297</v>
      </c>
      <c r="B69" s="225" t="s">
        <v>11</v>
      </c>
      <c r="C69" s="226" t="s">
        <v>293</v>
      </c>
      <c r="D69" s="225"/>
      <c r="E69" s="236"/>
      <c r="F69" s="233"/>
      <c r="G69" s="93"/>
      <c r="H69" s="234"/>
      <c r="I69" s="93"/>
      <c r="J69" s="93"/>
      <c r="K69" s="93"/>
      <c r="L69" s="234"/>
      <c r="M69" s="93"/>
      <c r="N69" s="93"/>
      <c r="O69" s="93"/>
      <c r="P69" s="93"/>
      <c r="Q69" s="81">
        <f t="shared" si="13"/>
        <v>26922.094736842108</v>
      </c>
      <c r="R69" s="81">
        <v>0</v>
      </c>
      <c r="S69" s="81">
        <f>102303.96/3.8</f>
        <v>26922.094736842108</v>
      </c>
      <c r="T69" s="252"/>
      <c r="U69" s="81"/>
      <c r="V69" s="239"/>
      <c r="W69" s="77"/>
      <c r="X69" s="239">
        <v>26922.09</v>
      </c>
      <c r="Y69" s="251"/>
      <c r="Z69" s="239"/>
      <c r="AA69" s="251"/>
      <c r="AB69" s="239"/>
      <c r="AC69" s="251"/>
      <c r="AD69" s="239"/>
      <c r="AE69" s="251"/>
      <c r="AF69" s="239"/>
      <c r="AG69" s="24"/>
    </row>
    <row r="70" spans="1:51" s="39" customFormat="1" ht="25.5" x14ac:dyDescent="0.25">
      <c r="A70" s="79" t="s">
        <v>297</v>
      </c>
      <c r="B70" s="225" t="s">
        <v>11</v>
      </c>
      <c r="C70" s="226" t="s">
        <v>300</v>
      </c>
      <c r="D70" s="225"/>
      <c r="E70" s="236"/>
      <c r="F70" s="233"/>
      <c r="G70" s="93"/>
      <c r="H70" s="234"/>
      <c r="I70" s="93"/>
      <c r="J70" s="93"/>
      <c r="K70" s="93"/>
      <c r="L70" s="234"/>
      <c r="M70" s="93"/>
      <c r="N70" s="93"/>
      <c r="O70" s="93"/>
      <c r="P70" s="93"/>
      <c r="Q70" s="81">
        <f t="shared" si="12"/>
        <v>12003.92</v>
      </c>
      <c r="R70" s="81">
        <v>0</v>
      </c>
      <c r="S70" s="81">
        <f>SUM(X70)</f>
        <v>12003.92</v>
      </c>
      <c r="T70" s="252"/>
      <c r="U70" s="81"/>
      <c r="V70" s="239"/>
      <c r="W70" s="77"/>
      <c r="X70" s="239">
        <v>12003.92</v>
      </c>
      <c r="Y70" s="251"/>
      <c r="Z70" s="239"/>
      <c r="AA70" s="251"/>
      <c r="AB70" s="239"/>
      <c r="AC70" s="251"/>
      <c r="AD70" s="239"/>
      <c r="AE70" s="251"/>
      <c r="AF70" s="239"/>
      <c r="AG70" s="24"/>
    </row>
    <row r="71" spans="1:51" s="39" customFormat="1" ht="25.5" x14ac:dyDescent="0.25">
      <c r="A71" s="79" t="s">
        <v>295</v>
      </c>
      <c r="B71" s="225" t="s">
        <v>11</v>
      </c>
      <c r="C71" s="226" t="s">
        <v>303</v>
      </c>
      <c r="D71" s="268"/>
      <c r="E71" s="236"/>
      <c r="F71" s="269"/>
      <c r="G71" s="93"/>
      <c r="H71" s="234"/>
      <c r="I71" s="93"/>
      <c r="J71" s="267"/>
      <c r="K71" s="93"/>
      <c r="L71" s="234"/>
      <c r="M71" s="93"/>
      <c r="N71" s="93"/>
      <c r="O71" s="93"/>
      <c r="P71" s="267"/>
      <c r="Q71" s="81">
        <f t="shared" si="12"/>
        <v>31224.080000000002</v>
      </c>
      <c r="R71" s="81">
        <v>0</v>
      </c>
      <c r="S71" s="81">
        <f>SUM(X71)</f>
        <v>31224.080000000002</v>
      </c>
      <c r="T71" s="246"/>
      <c r="U71" s="81"/>
      <c r="V71" s="239"/>
      <c r="W71" s="251"/>
      <c r="X71" s="239">
        <v>31224.080000000002</v>
      </c>
      <c r="Y71" s="251"/>
      <c r="Z71" s="239"/>
      <c r="AA71" s="251"/>
      <c r="AB71" s="239"/>
      <c r="AC71" s="251"/>
      <c r="AD71" s="239"/>
      <c r="AE71" s="251"/>
      <c r="AF71" s="239"/>
      <c r="AG71" s="24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51" s="39" customFormat="1" ht="15" x14ac:dyDescent="0.25">
      <c r="A72" s="79" t="s">
        <v>304</v>
      </c>
      <c r="B72" s="225" t="s">
        <v>11</v>
      </c>
      <c r="C72" s="226" t="s">
        <v>306</v>
      </c>
      <c r="D72" s="268"/>
      <c r="E72" s="236"/>
      <c r="F72" s="269"/>
      <c r="G72" s="93"/>
      <c r="H72" s="234"/>
      <c r="I72" s="93"/>
      <c r="J72" s="267"/>
      <c r="K72" s="93"/>
      <c r="L72" s="234"/>
      <c r="M72" s="93"/>
      <c r="N72" s="93"/>
      <c r="O72" s="93"/>
      <c r="P72" s="267"/>
      <c r="Q72" s="81">
        <f t="shared" si="12"/>
        <v>4163.21052631579</v>
      </c>
      <c r="R72" s="81">
        <v>0</v>
      </c>
      <c r="S72" s="81">
        <f>15820.2/3.8</f>
        <v>4163.21052631579</v>
      </c>
      <c r="T72" s="246"/>
      <c r="U72" s="81"/>
      <c r="V72" s="239"/>
      <c r="W72" s="251"/>
      <c r="X72" s="239">
        <v>4163.21</v>
      </c>
      <c r="Y72" s="251"/>
      <c r="Z72" s="239"/>
      <c r="AA72" s="251"/>
      <c r="AB72" s="239"/>
      <c r="AC72" s="251"/>
      <c r="AD72" s="239"/>
      <c r="AE72" s="251"/>
      <c r="AF72" s="239"/>
      <c r="AG72" s="24"/>
    </row>
    <row r="73" spans="1:51" s="39" customFormat="1" ht="25.5" x14ac:dyDescent="0.25">
      <c r="A73" s="79" t="s">
        <v>307</v>
      </c>
      <c r="B73" s="225" t="s">
        <v>11</v>
      </c>
      <c r="C73" s="226" t="s">
        <v>309</v>
      </c>
      <c r="D73" s="268"/>
      <c r="E73" s="236"/>
      <c r="F73" s="269"/>
      <c r="G73" s="93"/>
      <c r="H73" s="234"/>
      <c r="I73" s="93"/>
      <c r="J73" s="267"/>
      <c r="K73" s="93"/>
      <c r="L73" s="234"/>
      <c r="M73" s="93"/>
      <c r="N73" s="93"/>
      <c r="O73" s="93"/>
      <c r="P73" s="267"/>
      <c r="Q73" s="81">
        <f t="shared" si="12"/>
        <v>32681.202631578952</v>
      </c>
      <c r="R73" s="81">
        <v>0</v>
      </c>
      <c r="S73" s="81">
        <f>124188.57/3.8</f>
        <v>32681.202631578952</v>
      </c>
      <c r="T73" s="246"/>
      <c r="U73" s="81"/>
      <c r="V73" s="239"/>
      <c r="W73" s="251"/>
      <c r="X73" s="239">
        <f>124188.57/3.8</f>
        <v>32681.202631578952</v>
      </c>
      <c r="Y73" s="251"/>
      <c r="Z73" s="239"/>
      <c r="AA73" s="251"/>
      <c r="AB73" s="239"/>
      <c r="AC73" s="251"/>
      <c r="AD73" s="239"/>
      <c r="AE73" s="251"/>
      <c r="AF73" s="239"/>
      <c r="AG73" s="24"/>
    </row>
    <row r="74" spans="1:51" s="39" customFormat="1" ht="25.5" x14ac:dyDescent="0.25">
      <c r="A74" s="79" t="s">
        <v>310</v>
      </c>
      <c r="B74" s="225" t="s">
        <v>11</v>
      </c>
      <c r="C74" s="226" t="s">
        <v>313</v>
      </c>
      <c r="D74" s="268"/>
      <c r="E74" s="236"/>
      <c r="F74" s="269"/>
      <c r="G74" s="93"/>
      <c r="H74" s="234"/>
      <c r="I74" s="93"/>
      <c r="J74" s="267"/>
      <c r="K74" s="93"/>
      <c r="L74" s="234"/>
      <c r="M74" s="93"/>
      <c r="N74" s="93"/>
      <c r="O74" s="93"/>
      <c r="P74" s="267"/>
      <c r="Q74" s="81">
        <f t="shared" si="12"/>
        <v>9020.28947368421</v>
      </c>
      <c r="R74" s="81">
        <v>0</v>
      </c>
      <c r="S74" s="81">
        <f>34277.1/3.8</f>
        <v>9020.28947368421</v>
      </c>
      <c r="T74" s="246"/>
      <c r="U74" s="81"/>
      <c r="V74" s="239"/>
      <c r="W74" s="251"/>
      <c r="X74" s="239">
        <f>34277.1/3.8</f>
        <v>9020.28947368421</v>
      </c>
      <c r="Y74" s="251"/>
      <c r="Z74" s="239"/>
      <c r="AA74" s="251"/>
      <c r="AB74" s="239"/>
      <c r="AC74" s="251"/>
      <c r="AD74" s="239"/>
      <c r="AE74" s="251"/>
      <c r="AF74" s="239"/>
      <c r="AG74" s="24"/>
    </row>
    <row r="75" spans="1:51" s="39" customFormat="1" ht="25.5" x14ac:dyDescent="0.25">
      <c r="A75" s="79" t="s">
        <v>314</v>
      </c>
      <c r="B75" s="225" t="s">
        <v>11</v>
      </c>
      <c r="C75" s="226" t="s">
        <v>324</v>
      </c>
      <c r="D75" s="268"/>
      <c r="E75" s="236"/>
      <c r="F75" s="269"/>
      <c r="G75" s="93"/>
      <c r="H75" s="234"/>
      <c r="I75" s="93"/>
      <c r="J75" s="267"/>
      <c r="K75" s="93"/>
      <c r="L75" s="234"/>
      <c r="M75" s="93"/>
      <c r="N75" s="93"/>
      <c r="O75" s="93"/>
      <c r="P75" s="267"/>
      <c r="Q75" s="81">
        <f t="shared" si="12"/>
        <v>2844.86</v>
      </c>
      <c r="R75" s="81">
        <v>0</v>
      </c>
      <c r="S75" s="81">
        <v>2844.86</v>
      </c>
      <c r="T75" s="246"/>
      <c r="U75" s="81"/>
      <c r="V75" s="239"/>
      <c r="W75" s="251"/>
      <c r="X75" s="239">
        <v>2844.86</v>
      </c>
      <c r="Y75" s="251"/>
      <c r="Z75" s="239"/>
      <c r="AA75" s="251"/>
      <c r="AB75" s="239"/>
      <c r="AC75" s="251"/>
      <c r="AD75" s="239"/>
      <c r="AE75" s="251"/>
      <c r="AF75" s="239"/>
      <c r="AG75" s="24"/>
    </row>
    <row r="76" spans="1:51" s="39" customFormat="1" ht="15" x14ac:dyDescent="0.25">
      <c r="A76" s="62">
        <v>1.06</v>
      </c>
      <c r="B76" s="62" t="s">
        <v>27</v>
      </c>
      <c r="C76" s="63" t="s">
        <v>222</v>
      </c>
      <c r="D76" s="64"/>
      <c r="E76" s="65"/>
      <c r="F76" s="66"/>
      <c r="G76" s="65"/>
      <c r="H76" s="65"/>
      <c r="I76" s="65"/>
      <c r="J76" s="66"/>
      <c r="K76" s="65"/>
      <c r="L76" s="65"/>
      <c r="M76" s="65"/>
      <c r="N76" s="65"/>
      <c r="O76" s="65"/>
      <c r="P76" s="66"/>
      <c r="Q76" s="72">
        <f>Q77</f>
        <v>7601058</v>
      </c>
      <c r="R76" s="72">
        <f>R77</f>
        <v>1788726</v>
      </c>
      <c r="S76" s="72">
        <f>S77</f>
        <v>5812332</v>
      </c>
      <c r="T76" s="30"/>
      <c r="U76" s="73"/>
      <c r="V76" s="240"/>
      <c r="W76" s="255"/>
      <c r="X76" s="240"/>
      <c r="Y76" s="255"/>
      <c r="Z76" s="240"/>
      <c r="AA76" s="255"/>
      <c r="AB76" s="240"/>
      <c r="AC76" s="255"/>
      <c r="AD76" s="240"/>
      <c r="AE76" s="255"/>
      <c r="AF76" s="240"/>
      <c r="AG76" s="24"/>
    </row>
    <row r="77" spans="1:51" s="39" customFormat="1" ht="25.5" x14ac:dyDescent="0.25">
      <c r="A77" s="28" t="s">
        <v>41</v>
      </c>
      <c r="B77" s="28" t="s">
        <v>11</v>
      </c>
      <c r="C77" s="28" t="s">
        <v>242</v>
      </c>
      <c r="D77" s="29"/>
      <c r="E77" s="18"/>
      <c r="F77" s="24"/>
      <c r="G77" s="18"/>
      <c r="H77" s="18"/>
      <c r="I77" s="18"/>
      <c r="J77" s="24"/>
      <c r="K77" s="18"/>
      <c r="L77" s="18"/>
      <c r="M77" s="18"/>
      <c r="N77" s="18"/>
      <c r="O77" s="18"/>
      <c r="P77" s="24"/>
      <c r="Q77" s="69">
        <f>R77+S77</f>
        <v>7601058</v>
      </c>
      <c r="R77" s="69">
        <v>1788726</v>
      </c>
      <c r="S77" s="69">
        <v>5812332</v>
      </c>
      <c r="T77" s="24"/>
      <c r="U77" s="69"/>
      <c r="V77" s="239">
        <v>480003.29</v>
      </c>
      <c r="W77" s="77">
        <v>788726</v>
      </c>
      <c r="X77" s="239">
        <v>5332328.71</v>
      </c>
      <c r="Y77" s="77">
        <v>1000000</v>
      </c>
      <c r="Z77" s="239"/>
      <c r="AA77" s="77"/>
      <c r="AB77" s="239"/>
      <c r="AC77" s="77"/>
      <c r="AD77" s="239"/>
      <c r="AE77" s="77"/>
      <c r="AF77" s="239"/>
      <c r="AG77" s="24"/>
    </row>
    <row r="78" spans="1:51" s="39" customFormat="1" ht="25.5" x14ac:dyDescent="0.25">
      <c r="A78" s="62">
        <v>1.07</v>
      </c>
      <c r="B78" s="63" t="s">
        <v>2</v>
      </c>
      <c r="C78" s="63" t="s">
        <v>223</v>
      </c>
      <c r="D78" s="64"/>
      <c r="E78" s="65"/>
      <c r="F78" s="266"/>
      <c r="G78" s="65"/>
      <c r="H78" s="65"/>
      <c r="I78" s="65"/>
      <c r="J78" s="266"/>
      <c r="K78" s="65"/>
      <c r="L78" s="65"/>
      <c r="M78" s="65"/>
      <c r="N78" s="65"/>
      <c r="O78" s="65"/>
      <c r="P78" s="266"/>
      <c r="Q78" s="72">
        <f>Q79+Q80</f>
        <v>893755</v>
      </c>
      <c r="R78" s="72">
        <f>R79+R80</f>
        <v>772116</v>
      </c>
      <c r="S78" s="72">
        <f>S79+S80</f>
        <v>121639</v>
      </c>
      <c r="T78" s="30"/>
      <c r="U78" s="73"/>
      <c r="V78" s="240"/>
      <c r="W78" s="255"/>
      <c r="X78" s="240"/>
      <c r="Y78" s="255"/>
      <c r="Z78" s="240"/>
      <c r="AA78" s="255"/>
      <c r="AB78" s="240"/>
      <c r="AC78" s="255"/>
      <c r="AD78" s="240"/>
      <c r="AE78" s="255"/>
      <c r="AF78" s="240"/>
      <c r="AG78" s="24"/>
    </row>
    <row r="79" spans="1:51" s="39" customFormat="1" ht="32.25" customHeight="1" x14ac:dyDescent="0.25">
      <c r="A79" s="28" t="s">
        <v>298</v>
      </c>
      <c r="B79" s="28" t="s">
        <v>11</v>
      </c>
      <c r="C79" s="28" t="s">
        <v>244</v>
      </c>
      <c r="D79" s="29"/>
      <c r="E79" s="18"/>
      <c r="F79" s="24"/>
      <c r="G79" s="18"/>
      <c r="H79" s="18"/>
      <c r="I79" s="18"/>
      <c r="J79" s="24"/>
      <c r="K79" s="18"/>
      <c r="L79" s="18"/>
      <c r="M79" s="18"/>
      <c r="N79" s="18"/>
      <c r="O79" s="18"/>
      <c r="P79" s="24"/>
      <c r="Q79" s="69">
        <f t="shared" ref="Q79:Q80" si="14">R79+S79</f>
        <v>507082</v>
      </c>
      <c r="R79" s="69">
        <v>385443</v>
      </c>
      <c r="S79" s="69">
        <v>121639</v>
      </c>
      <c r="T79" s="24"/>
      <c r="U79" s="69"/>
      <c r="V79" s="239"/>
      <c r="W79" s="77"/>
      <c r="X79" s="239"/>
      <c r="Y79" s="69">
        <v>385443</v>
      </c>
      <c r="Z79" s="69">
        <v>121639</v>
      </c>
      <c r="AA79" s="77"/>
      <c r="AB79" s="239"/>
      <c r="AC79" s="77"/>
      <c r="AD79" s="239"/>
      <c r="AE79" s="77"/>
      <c r="AF79" s="239"/>
      <c r="AG79" s="24"/>
    </row>
    <row r="80" spans="1:51" s="39" customFormat="1" ht="39.75" customHeight="1" x14ac:dyDescent="0.25">
      <c r="A80" s="28" t="s">
        <v>299</v>
      </c>
      <c r="B80" s="28" t="s">
        <v>11</v>
      </c>
      <c r="C80" s="28" t="s">
        <v>243</v>
      </c>
      <c r="D80" s="29"/>
      <c r="E80" s="18"/>
      <c r="F80" s="24"/>
      <c r="G80" s="18"/>
      <c r="H80" s="18"/>
      <c r="I80" s="18"/>
      <c r="J80" s="24"/>
      <c r="K80" s="18"/>
      <c r="L80" s="18"/>
      <c r="M80" s="18"/>
      <c r="N80" s="18"/>
      <c r="O80" s="18"/>
      <c r="P80" s="24"/>
      <c r="Q80" s="69">
        <f t="shared" si="14"/>
        <v>386673</v>
      </c>
      <c r="R80" s="69">
        <v>386673</v>
      </c>
      <c r="S80" s="69">
        <v>0</v>
      </c>
      <c r="T80" s="24"/>
      <c r="U80" s="69"/>
      <c r="V80" s="239"/>
      <c r="W80" s="77"/>
      <c r="X80" s="239"/>
      <c r="Y80" s="77">
        <v>386673</v>
      </c>
      <c r="Z80" s="239"/>
      <c r="AA80" s="77"/>
      <c r="AB80" s="239"/>
      <c r="AC80" s="77"/>
      <c r="AD80" s="239"/>
      <c r="AE80" s="77"/>
      <c r="AF80" s="239"/>
      <c r="AG80" s="24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spans="1:51" s="39" customFormat="1" ht="25.5" x14ac:dyDescent="0.25">
      <c r="A81" s="62">
        <v>1.08</v>
      </c>
      <c r="B81" s="63" t="s">
        <v>2</v>
      </c>
      <c r="C81" s="63" t="s">
        <v>224</v>
      </c>
      <c r="D81" s="64"/>
      <c r="E81" s="65"/>
      <c r="F81" s="66"/>
      <c r="G81" s="65"/>
      <c r="H81" s="65"/>
      <c r="I81" s="65"/>
      <c r="J81" s="66"/>
      <c r="K81" s="65"/>
      <c r="L81" s="65"/>
      <c r="M81" s="65"/>
      <c r="N81" s="65"/>
      <c r="O81" s="65"/>
      <c r="P81" s="66"/>
      <c r="Q81" s="72">
        <f>Q82+Q83</f>
        <v>781690</v>
      </c>
      <c r="R81" s="72">
        <f>R82+R83</f>
        <v>781690</v>
      </c>
      <c r="S81" s="72">
        <f>S82+S83</f>
        <v>0</v>
      </c>
      <c r="T81" s="30"/>
      <c r="U81" s="73"/>
      <c r="V81" s="240"/>
      <c r="W81" s="255"/>
      <c r="X81" s="240"/>
      <c r="Y81" s="255"/>
      <c r="Z81" s="240"/>
      <c r="AA81" s="255"/>
      <c r="AB81" s="240"/>
      <c r="AC81" s="255"/>
      <c r="AD81" s="240"/>
      <c r="AE81" s="255"/>
      <c r="AF81" s="240"/>
      <c r="AG81" s="24"/>
    </row>
    <row r="82" spans="1:51" s="39" customFormat="1" ht="25.5" x14ac:dyDescent="0.25">
      <c r="A82" s="28"/>
      <c r="B82" s="28" t="s">
        <v>11</v>
      </c>
      <c r="C82" s="28" t="s">
        <v>199</v>
      </c>
      <c r="D82" s="29"/>
      <c r="E82" s="18"/>
      <c r="F82" s="24"/>
      <c r="G82" s="18"/>
      <c r="H82" s="18"/>
      <c r="I82" s="18"/>
      <c r="J82" s="24"/>
      <c r="K82" s="18"/>
      <c r="L82" s="18"/>
      <c r="M82" s="18"/>
      <c r="N82" s="18"/>
      <c r="O82" s="18"/>
      <c r="P82" s="24"/>
      <c r="Q82" s="69">
        <f>R82</f>
        <v>390845</v>
      </c>
      <c r="R82" s="69">
        <v>390845</v>
      </c>
      <c r="S82" s="69">
        <v>0</v>
      </c>
      <c r="T82" s="24"/>
      <c r="U82" s="69"/>
      <c r="V82" s="239"/>
      <c r="W82" s="77"/>
      <c r="X82" s="239"/>
      <c r="Y82" s="77"/>
      <c r="Z82" s="239"/>
      <c r="AA82" s="77">
        <v>390845</v>
      </c>
      <c r="AB82" s="239"/>
      <c r="AC82" s="77"/>
      <c r="AD82" s="239"/>
      <c r="AE82" s="77"/>
      <c r="AF82" s="239"/>
      <c r="AG82" s="24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51" s="39" customFormat="1" ht="25.5" x14ac:dyDescent="0.25">
      <c r="A83" s="28" t="s">
        <v>42</v>
      </c>
      <c r="B83" s="28" t="s">
        <v>11</v>
      </c>
      <c r="C83" s="28" t="s">
        <v>204</v>
      </c>
      <c r="D83" s="29"/>
      <c r="E83" s="18"/>
      <c r="F83" s="24"/>
      <c r="G83" s="18"/>
      <c r="H83" s="18"/>
      <c r="I83" s="18"/>
      <c r="J83" s="24"/>
      <c r="K83" s="18"/>
      <c r="L83" s="18"/>
      <c r="M83" s="18"/>
      <c r="N83" s="18"/>
      <c r="O83" s="18"/>
      <c r="P83" s="24"/>
      <c r="Q83" s="69">
        <f>R83</f>
        <v>390845</v>
      </c>
      <c r="R83" s="69">
        <v>390845</v>
      </c>
      <c r="S83" s="69">
        <v>0</v>
      </c>
      <c r="T83" s="24"/>
      <c r="U83" s="69"/>
      <c r="V83" s="239"/>
      <c r="W83" s="77"/>
      <c r="X83" s="239"/>
      <c r="Y83" s="69">
        <v>390845</v>
      </c>
      <c r="Z83" s="239"/>
      <c r="AA83" s="77"/>
      <c r="AB83" s="239"/>
      <c r="AC83" s="77"/>
      <c r="AD83" s="239"/>
      <c r="AE83" s="77"/>
      <c r="AF83" s="239"/>
      <c r="AG83" s="24"/>
    </row>
    <row r="84" spans="1:51" s="39" customFormat="1" ht="38.25" x14ac:dyDescent="0.25">
      <c r="A84" s="62">
        <v>1.0900000000000001</v>
      </c>
      <c r="B84" s="62" t="s">
        <v>2</v>
      </c>
      <c r="C84" s="63" t="s">
        <v>225</v>
      </c>
      <c r="D84" s="64"/>
      <c r="E84" s="65"/>
      <c r="F84" s="66"/>
      <c r="G84" s="65"/>
      <c r="H84" s="65"/>
      <c r="I84" s="65"/>
      <c r="J84" s="66"/>
      <c r="K84" s="65"/>
      <c r="L84" s="65"/>
      <c r="M84" s="65"/>
      <c r="N84" s="65"/>
      <c r="O84" s="65"/>
      <c r="P84" s="66"/>
      <c r="Q84" s="72">
        <f>R84+S84</f>
        <v>5175247.4800000004</v>
      </c>
      <c r="R84" s="72">
        <f>R85+R86+R87</f>
        <v>3351556</v>
      </c>
      <c r="S84" s="72">
        <f>S85+S86+S87</f>
        <v>1823691.48</v>
      </c>
      <c r="T84" s="24"/>
      <c r="U84" s="73"/>
      <c r="V84" s="240"/>
      <c r="W84" s="255"/>
      <c r="X84" s="240"/>
      <c r="Y84" s="255"/>
      <c r="Z84" s="240"/>
      <c r="AA84" s="255"/>
      <c r="AB84" s="240"/>
      <c r="AC84" s="255"/>
      <c r="AD84" s="240"/>
      <c r="AE84" s="255"/>
      <c r="AF84" s="240"/>
      <c r="AG84" s="30"/>
    </row>
    <row r="85" spans="1:51" s="39" customFormat="1" ht="25.5" x14ac:dyDescent="0.25">
      <c r="A85" s="28"/>
      <c r="B85" s="28" t="s">
        <v>11</v>
      </c>
      <c r="C85" s="28" t="s">
        <v>200</v>
      </c>
      <c r="D85" s="29"/>
      <c r="E85" s="18"/>
      <c r="F85" s="24"/>
      <c r="G85" s="18"/>
      <c r="H85" s="18"/>
      <c r="I85" s="18"/>
      <c r="J85" s="24"/>
      <c r="K85" s="18"/>
      <c r="L85" s="18"/>
      <c r="M85" s="18"/>
      <c r="N85" s="18"/>
      <c r="O85" s="18"/>
      <c r="P85" s="24"/>
      <c r="Q85" s="69">
        <f>R85+S85</f>
        <v>2307145.1</v>
      </c>
      <c r="R85" s="69">
        <v>1675778</v>
      </c>
      <c r="S85" s="69">
        <f>SUM(V85)</f>
        <v>631367.1</v>
      </c>
      <c r="T85" s="24"/>
      <c r="U85" s="69"/>
      <c r="V85" s="239">
        <v>631367.1</v>
      </c>
      <c r="W85" s="77"/>
      <c r="X85" s="239"/>
      <c r="Y85" s="77">
        <v>1675778</v>
      </c>
      <c r="Z85" s="239"/>
      <c r="AA85" s="77"/>
      <c r="AB85" s="239"/>
      <c r="AC85" s="77"/>
      <c r="AD85" s="239"/>
      <c r="AE85" s="77"/>
      <c r="AF85" s="239"/>
      <c r="AG85" s="30"/>
    </row>
    <row r="86" spans="1:51" s="39" customFormat="1" ht="15" x14ac:dyDescent="0.25">
      <c r="A86" s="28"/>
      <c r="B86" s="28" t="s">
        <v>11</v>
      </c>
      <c r="C86" s="28" t="s">
        <v>136</v>
      </c>
      <c r="D86" s="29"/>
      <c r="E86" s="18"/>
      <c r="F86" s="24"/>
      <c r="G86" s="18"/>
      <c r="H86" s="18"/>
      <c r="I86" s="18"/>
      <c r="J86" s="24"/>
      <c r="K86" s="18"/>
      <c r="L86" s="18"/>
      <c r="M86" s="18"/>
      <c r="N86" s="18"/>
      <c r="O86" s="18"/>
      <c r="P86" s="24"/>
      <c r="Q86" s="69">
        <f>R86+S86</f>
        <v>1675778</v>
      </c>
      <c r="R86" s="69">
        <v>1675778</v>
      </c>
      <c r="S86" s="69">
        <v>0</v>
      </c>
      <c r="T86" s="24"/>
      <c r="U86" s="69"/>
      <c r="V86" s="239"/>
      <c r="W86" s="77"/>
      <c r="X86" s="239"/>
      <c r="Y86" s="77">
        <v>1675778</v>
      </c>
      <c r="Z86" s="239"/>
      <c r="AA86" s="77"/>
      <c r="AB86" s="239"/>
      <c r="AC86" s="77"/>
      <c r="AD86" s="239"/>
      <c r="AE86" s="77"/>
      <c r="AF86" s="239"/>
      <c r="AG86" s="30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s="39" customFormat="1" ht="15" x14ac:dyDescent="0.25">
      <c r="A87" s="28"/>
      <c r="B87" s="28" t="s">
        <v>11</v>
      </c>
      <c r="C87" s="28" t="s">
        <v>281</v>
      </c>
      <c r="D87" s="29"/>
      <c r="E87" s="18"/>
      <c r="F87" s="24"/>
      <c r="G87" s="18"/>
      <c r="H87" s="18"/>
      <c r="I87" s="18"/>
      <c r="J87" s="24"/>
      <c r="K87" s="18"/>
      <c r="L87" s="18"/>
      <c r="M87" s="18"/>
      <c r="N87" s="18"/>
      <c r="O87" s="18"/>
      <c r="P87" s="24"/>
      <c r="Q87" s="69">
        <f>R87+S87</f>
        <v>1192324.3799999999</v>
      </c>
      <c r="R87" s="69">
        <v>0</v>
      </c>
      <c r="S87" s="69">
        <v>1192324.3799999999</v>
      </c>
      <c r="T87" s="24"/>
      <c r="U87" s="69"/>
      <c r="V87" s="239"/>
      <c r="W87" s="77"/>
      <c r="X87" s="239">
        <v>1192324.3799999999</v>
      </c>
      <c r="Y87" s="77"/>
      <c r="Z87" s="239"/>
      <c r="AA87" s="77"/>
      <c r="AB87" s="239"/>
      <c r="AC87" s="77"/>
      <c r="AD87" s="239"/>
      <c r="AE87" s="77"/>
      <c r="AF87" s="239"/>
      <c r="AG87" s="24"/>
    </row>
    <row r="88" spans="1:51" s="39" customFormat="1" ht="25.5" x14ac:dyDescent="0.25">
      <c r="A88" s="62" t="s">
        <v>46</v>
      </c>
      <c r="B88" s="62" t="s">
        <v>2</v>
      </c>
      <c r="C88" s="63" t="s">
        <v>226</v>
      </c>
      <c r="D88" s="64"/>
      <c r="E88" s="65"/>
      <c r="F88" s="66"/>
      <c r="G88" s="65"/>
      <c r="H88" s="65"/>
      <c r="I88" s="65"/>
      <c r="J88" s="66"/>
      <c r="K88" s="65"/>
      <c r="L88" s="65"/>
      <c r="M88" s="65"/>
      <c r="N88" s="65"/>
      <c r="O88" s="65"/>
      <c r="P88" s="66"/>
      <c r="Q88" s="72">
        <f>SUM(Q89:Q90)</f>
        <v>3859518.98</v>
      </c>
      <c r="R88" s="72">
        <f>SUM(R89:R90)</f>
        <v>2473038</v>
      </c>
      <c r="S88" s="72">
        <f>SUM(S89:S90)</f>
        <v>1386480.98</v>
      </c>
      <c r="T88" s="24"/>
      <c r="U88" s="73"/>
      <c r="V88" s="240"/>
      <c r="W88" s="255"/>
      <c r="X88" s="240"/>
      <c r="Y88" s="255"/>
      <c r="Z88" s="240"/>
      <c r="AA88" s="255"/>
      <c r="AB88" s="240"/>
      <c r="AC88" s="255"/>
      <c r="AD88" s="240"/>
      <c r="AE88" s="255"/>
      <c r="AF88" s="240"/>
      <c r="AG88" s="24"/>
    </row>
    <row r="89" spans="1:51" s="39" customFormat="1" ht="15" x14ac:dyDescent="0.25">
      <c r="A89" s="28" t="s">
        <v>43</v>
      </c>
      <c r="B89" s="225" t="s">
        <v>11</v>
      </c>
      <c r="C89" s="249" t="s">
        <v>196</v>
      </c>
      <c r="D89" s="227"/>
      <c r="E89" s="18"/>
      <c r="F89" s="248"/>
      <c r="G89" s="18"/>
      <c r="H89" s="18"/>
      <c r="I89" s="18"/>
      <c r="J89" s="248"/>
      <c r="K89" s="18"/>
      <c r="L89" s="18"/>
      <c r="M89" s="18"/>
      <c r="N89" s="18"/>
      <c r="O89" s="18"/>
      <c r="P89" s="24"/>
      <c r="Q89" s="69">
        <f>R89+S89</f>
        <v>2473038</v>
      </c>
      <c r="R89" s="69">
        <v>2473038</v>
      </c>
      <c r="S89" s="69">
        <v>0</v>
      </c>
      <c r="T89" s="24"/>
      <c r="U89" s="81"/>
      <c r="V89" s="239"/>
      <c r="W89" s="260">
        <v>2473038</v>
      </c>
      <c r="X89" s="239"/>
      <c r="Y89" s="260"/>
      <c r="Z89" s="239"/>
      <c r="AA89" s="260"/>
      <c r="AB89" s="239"/>
      <c r="AC89" s="260"/>
      <c r="AD89" s="239"/>
      <c r="AE89" s="260"/>
      <c r="AF89" s="239"/>
      <c r="AG89" s="24"/>
    </row>
    <row r="90" spans="1:51" s="39" customFormat="1" ht="15" x14ac:dyDescent="0.25">
      <c r="A90" s="79" t="s">
        <v>266</v>
      </c>
      <c r="B90" s="225" t="s">
        <v>11</v>
      </c>
      <c r="C90" s="250" t="s">
        <v>137</v>
      </c>
      <c r="D90" s="227"/>
      <c r="E90" s="80"/>
      <c r="F90" s="248"/>
      <c r="G90" s="80"/>
      <c r="H90" s="80"/>
      <c r="I90" s="80"/>
      <c r="J90" s="248"/>
      <c r="K90" s="80"/>
      <c r="L90" s="80"/>
      <c r="M90" s="80"/>
      <c r="N90" s="80"/>
      <c r="O90" s="80"/>
      <c r="P90" s="24"/>
      <c r="Q90" s="69">
        <f>R90+S90</f>
        <v>1386480.98</v>
      </c>
      <c r="R90" s="81">
        <v>0</v>
      </c>
      <c r="S90" s="252">
        <f>SUM(V90+X90)</f>
        <v>1386480.98</v>
      </c>
      <c r="T90" s="24"/>
      <c r="U90" s="81"/>
      <c r="V90" s="239">
        <v>657894.73</v>
      </c>
      <c r="W90" s="260"/>
      <c r="X90" s="239">
        <v>728586.25</v>
      </c>
      <c r="Y90" s="260"/>
      <c r="Z90" s="239"/>
      <c r="AA90" s="260"/>
      <c r="AB90" s="239"/>
      <c r="AC90" s="260"/>
      <c r="AD90" s="239"/>
      <c r="AE90" s="260"/>
      <c r="AF90" s="239"/>
      <c r="AG90" s="24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</row>
    <row r="91" spans="1:51" s="39" customFormat="1" ht="25.5" x14ac:dyDescent="0.25">
      <c r="A91" s="62" t="s">
        <v>278</v>
      </c>
      <c r="B91" s="62" t="s">
        <v>2</v>
      </c>
      <c r="C91" s="63" t="s">
        <v>227</v>
      </c>
      <c r="D91" s="64"/>
      <c r="E91" s="65"/>
      <c r="F91" s="66"/>
      <c r="G91" s="65"/>
      <c r="H91" s="65"/>
      <c r="I91" s="65"/>
      <c r="J91" s="66"/>
      <c r="K91" s="65"/>
      <c r="L91" s="65"/>
      <c r="M91" s="65"/>
      <c r="N91" s="65"/>
      <c r="O91" s="65"/>
      <c r="P91" s="66"/>
      <c r="Q91" s="72">
        <f>SUM(Q92:Q94)</f>
        <v>262573.23684210528</v>
      </c>
      <c r="R91" s="72">
        <f>SUM(R92:R94)</f>
        <v>0</v>
      </c>
      <c r="S91" s="72">
        <f>SUM(S92:S94)</f>
        <v>262573.23684210528</v>
      </c>
      <c r="T91" s="24"/>
      <c r="U91" s="73"/>
      <c r="V91" s="240"/>
      <c r="W91" s="255"/>
      <c r="X91" s="240"/>
      <c r="Y91" s="255"/>
      <c r="Z91" s="240"/>
      <c r="AA91" s="255"/>
      <c r="AB91" s="240"/>
      <c r="AC91" s="255"/>
      <c r="AD91" s="240"/>
      <c r="AE91" s="255"/>
      <c r="AF91" s="240"/>
      <c r="AG91" s="24"/>
    </row>
    <row r="92" spans="1:51" s="39" customFormat="1" ht="15" x14ac:dyDescent="0.25">
      <c r="A92" s="28" t="s">
        <v>282</v>
      </c>
      <c r="B92" s="225" t="s">
        <v>11</v>
      </c>
      <c r="C92" s="278" t="s">
        <v>283</v>
      </c>
      <c r="D92" s="227"/>
      <c r="E92" s="18"/>
      <c r="F92" s="248"/>
      <c r="G92" s="18"/>
      <c r="H92" s="18"/>
      <c r="I92" s="18"/>
      <c r="J92" s="248"/>
      <c r="K92" s="18"/>
      <c r="L92" s="18"/>
      <c r="M92" s="18"/>
      <c r="N92" s="18"/>
      <c r="O92" s="18"/>
      <c r="P92" s="24"/>
      <c r="Q92" s="69">
        <f>R92+S92</f>
        <v>127529.87368421054</v>
      </c>
      <c r="R92" s="69">
        <v>0</v>
      </c>
      <c r="S92" s="69">
        <f>484613.52/3.8</f>
        <v>127529.87368421054</v>
      </c>
      <c r="T92" s="24"/>
      <c r="U92" s="81"/>
      <c r="V92" s="239"/>
      <c r="W92" s="260"/>
      <c r="X92" s="239">
        <f>484613.52/3.8</f>
        <v>127529.87368421054</v>
      </c>
      <c r="Y92" s="260"/>
      <c r="Z92" s="239"/>
      <c r="AA92" s="260"/>
      <c r="AB92" s="239"/>
      <c r="AC92" s="260"/>
      <c r="AD92" s="239"/>
      <c r="AE92" s="260"/>
      <c r="AF92" s="239"/>
      <c r="AG92" s="24"/>
    </row>
    <row r="93" spans="1:51" s="39" customFormat="1" ht="15" x14ac:dyDescent="0.25">
      <c r="A93" s="79" t="s">
        <v>284</v>
      </c>
      <c r="B93" s="225" t="s">
        <v>11</v>
      </c>
      <c r="C93" s="278" t="s">
        <v>285</v>
      </c>
      <c r="D93" s="227"/>
      <c r="E93" s="80"/>
      <c r="F93" s="248"/>
      <c r="G93" s="80"/>
      <c r="H93" s="80"/>
      <c r="I93" s="80"/>
      <c r="J93" s="248"/>
      <c r="K93" s="80"/>
      <c r="L93" s="80"/>
      <c r="M93" s="80"/>
      <c r="N93" s="80"/>
      <c r="O93" s="80"/>
      <c r="P93" s="24"/>
      <c r="Q93" s="81">
        <f>R93+S93</f>
        <v>60108.497368421056</v>
      </c>
      <c r="R93" s="81">
        <v>0</v>
      </c>
      <c r="S93" s="81">
        <f>228412.29/3.8</f>
        <v>60108.497368421056</v>
      </c>
      <c r="T93" s="24"/>
      <c r="U93" s="81"/>
      <c r="V93" s="239"/>
      <c r="W93" s="251"/>
      <c r="X93" s="239">
        <f>228412.29/3.8</f>
        <v>60108.497368421056</v>
      </c>
      <c r="Y93" s="251"/>
      <c r="Z93" s="239"/>
      <c r="AA93" s="251"/>
      <c r="AB93" s="239"/>
      <c r="AC93" s="251"/>
      <c r="AD93" s="239"/>
      <c r="AE93" s="251"/>
      <c r="AF93" s="239"/>
      <c r="AG93" s="24"/>
    </row>
    <row r="94" spans="1:51" s="39" customFormat="1" ht="25.5" x14ac:dyDescent="0.25">
      <c r="A94" s="79" t="s">
        <v>286</v>
      </c>
      <c r="B94" s="225" t="s">
        <v>11</v>
      </c>
      <c r="C94" s="278" t="s">
        <v>287</v>
      </c>
      <c r="D94" s="227"/>
      <c r="E94" s="80"/>
      <c r="F94" s="248"/>
      <c r="G94" s="80"/>
      <c r="H94" s="80"/>
      <c r="I94" s="80"/>
      <c r="J94" s="248"/>
      <c r="K94" s="80"/>
      <c r="L94" s="80"/>
      <c r="M94" s="80"/>
      <c r="N94" s="80"/>
      <c r="O94" s="80"/>
      <c r="P94" s="24"/>
      <c r="Q94" s="81">
        <f>R94+S94</f>
        <v>74934.865789473683</v>
      </c>
      <c r="R94" s="81">
        <v>0</v>
      </c>
      <c r="S94" s="81">
        <f>284752.49/3.8</f>
        <v>74934.865789473683</v>
      </c>
      <c r="T94" s="24"/>
      <c r="U94" s="81"/>
      <c r="V94" s="239"/>
      <c r="W94" s="251"/>
      <c r="X94" s="239">
        <f>284752.49/3.8</f>
        <v>74934.865789473683</v>
      </c>
      <c r="Y94" s="251"/>
      <c r="Z94" s="239"/>
      <c r="AA94" s="251"/>
      <c r="AB94" s="239"/>
      <c r="AC94" s="251"/>
      <c r="AD94" s="239"/>
      <c r="AE94" s="251"/>
      <c r="AF94" s="239"/>
      <c r="AG94" s="24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s="39" customFormat="1" ht="15" x14ac:dyDescent="0.25">
      <c r="A95" s="9">
        <v>2</v>
      </c>
      <c r="B95" s="9" t="s">
        <v>44</v>
      </c>
      <c r="C95" s="9" t="e">
        <f>#REF!</f>
        <v>#REF!</v>
      </c>
      <c r="D95" s="10"/>
      <c r="E95" s="11"/>
      <c r="F95" s="24"/>
      <c r="G95" s="11"/>
      <c r="H95" s="11"/>
      <c r="I95" s="11"/>
      <c r="J95" s="24"/>
      <c r="K95" s="11"/>
      <c r="L95" s="11"/>
      <c r="M95" s="11"/>
      <c r="N95" s="11"/>
      <c r="O95" s="11"/>
      <c r="P95" s="24"/>
      <c r="Q95" s="71">
        <f>SUM(Q96:Q102)</f>
        <v>6404000</v>
      </c>
      <c r="R95" s="71">
        <f>SUM(R96:R102)</f>
        <v>6404000</v>
      </c>
      <c r="S95" s="88">
        <f>SUM(S96:S102)</f>
        <v>0</v>
      </c>
      <c r="T95" s="24"/>
      <c r="U95" s="71"/>
      <c r="V95" s="241"/>
      <c r="W95" s="261"/>
      <c r="X95" s="241"/>
      <c r="Y95" s="261"/>
      <c r="Z95" s="241"/>
      <c r="AA95" s="261"/>
      <c r="AB95" s="241"/>
      <c r="AC95" s="261"/>
      <c r="AD95" s="241"/>
      <c r="AE95" s="261"/>
      <c r="AF95" s="241"/>
      <c r="AG95" s="24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</row>
    <row r="96" spans="1:51" s="39" customFormat="1" ht="15" x14ac:dyDescent="0.25">
      <c r="A96" s="28">
        <v>2.1</v>
      </c>
      <c r="B96" s="28" t="s">
        <v>2</v>
      </c>
      <c r="C96" s="28" t="s">
        <v>235</v>
      </c>
      <c r="D96" s="29"/>
      <c r="E96" s="18"/>
      <c r="F96" s="24"/>
      <c r="G96" s="18"/>
      <c r="H96" s="18"/>
      <c r="I96" s="18"/>
      <c r="J96" s="24"/>
      <c r="K96" s="18"/>
      <c r="L96" s="18"/>
      <c r="M96" s="18"/>
      <c r="N96" s="18"/>
      <c r="O96" s="18"/>
      <c r="P96" s="24"/>
      <c r="Q96" s="69">
        <f>R96+S96</f>
        <v>983824</v>
      </c>
      <c r="R96" s="69">
        <v>983824</v>
      </c>
      <c r="S96" s="69">
        <v>0</v>
      </c>
      <c r="T96" s="24"/>
      <c r="U96" s="69"/>
      <c r="V96" s="239"/>
      <c r="W96" s="77"/>
      <c r="X96" s="239"/>
      <c r="Y96" s="77"/>
      <c r="Z96" s="239"/>
      <c r="AA96" s="77"/>
      <c r="AB96" s="239"/>
      <c r="AC96" s="77">
        <v>554934</v>
      </c>
      <c r="AD96" s="239"/>
      <c r="AE96" s="77">
        <v>126044</v>
      </c>
      <c r="AF96" s="239"/>
      <c r="AG96" s="24"/>
    </row>
    <row r="97" spans="1:51" s="39" customFormat="1" ht="15" x14ac:dyDescent="0.25">
      <c r="A97" s="28">
        <v>2.2000000000000002</v>
      </c>
      <c r="B97" s="28" t="s">
        <v>27</v>
      </c>
      <c r="C97" s="28" t="s">
        <v>236</v>
      </c>
      <c r="D97" s="29"/>
      <c r="E97" s="18"/>
      <c r="F97" s="24"/>
      <c r="G97" s="18"/>
      <c r="H97" s="18"/>
      <c r="I97" s="18"/>
      <c r="J97" s="24"/>
      <c r="K97" s="18"/>
      <c r="L97" s="18"/>
      <c r="M97" s="18"/>
      <c r="N97" s="18"/>
      <c r="O97" s="18"/>
      <c r="P97" s="24"/>
      <c r="Q97" s="69">
        <f t="shared" ref="Q97:Q102" si="15">R97+S97</f>
        <v>3996647</v>
      </c>
      <c r="R97" s="69">
        <f>3996765-118</f>
        <v>3996647</v>
      </c>
      <c r="S97" s="69">
        <v>0</v>
      </c>
      <c r="T97" s="24"/>
      <c r="U97" s="69"/>
      <c r="V97" s="239"/>
      <c r="W97" s="77">
        <v>1998323.5</v>
      </c>
      <c r="X97" s="239"/>
      <c r="Y97" s="77">
        <v>1998323.5</v>
      </c>
      <c r="Z97" s="239"/>
      <c r="AA97" s="77"/>
      <c r="AB97" s="239"/>
      <c r="AC97" s="77"/>
      <c r="AD97" s="239"/>
      <c r="AE97" s="77"/>
      <c r="AF97" s="239"/>
      <c r="AG97" s="24"/>
    </row>
    <row r="98" spans="1:51" s="39" customFormat="1" ht="25.5" x14ac:dyDescent="0.25">
      <c r="A98" s="28">
        <v>2.2999999999999998</v>
      </c>
      <c r="B98" s="28" t="s">
        <v>27</v>
      </c>
      <c r="C98" s="28" t="s">
        <v>151</v>
      </c>
      <c r="D98" s="29"/>
      <c r="E98" s="18"/>
      <c r="F98" s="24"/>
      <c r="G98" s="18"/>
      <c r="H98" s="18"/>
      <c r="I98" s="18"/>
      <c r="J98" s="24"/>
      <c r="K98" s="18"/>
      <c r="L98" s="18"/>
      <c r="M98" s="18"/>
      <c r="N98" s="18"/>
      <c r="O98" s="18"/>
      <c r="P98" s="24"/>
      <c r="Q98" s="69">
        <f t="shared" si="15"/>
        <v>655882</v>
      </c>
      <c r="R98" s="69">
        <v>655882</v>
      </c>
      <c r="S98" s="69">
        <v>0</v>
      </c>
      <c r="T98" s="24"/>
      <c r="U98" s="69"/>
      <c r="V98" s="239"/>
      <c r="W98" s="77"/>
      <c r="X98" s="239"/>
      <c r="Y98" s="77">
        <v>460000</v>
      </c>
      <c r="Z98" s="239"/>
      <c r="AA98" s="77" t="s">
        <v>326</v>
      </c>
      <c r="AB98" s="239"/>
      <c r="AC98" s="77"/>
      <c r="AD98" s="239"/>
      <c r="AE98" s="77"/>
      <c r="AF98" s="239"/>
      <c r="AG98" s="24"/>
    </row>
    <row r="99" spans="1:51" s="39" customFormat="1" ht="15" x14ac:dyDescent="0.25">
      <c r="A99" s="28">
        <v>2.4</v>
      </c>
      <c r="B99" s="28" t="s">
        <v>2</v>
      </c>
      <c r="C99" s="28" t="s">
        <v>237</v>
      </c>
      <c r="D99" s="29"/>
      <c r="E99" s="18"/>
      <c r="F99" s="24"/>
      <c r="G99" s="18"/>
      <c r="H99" s="18"/>
      <c r="I99" s="18"/>
      <c r="J99" s="24"/>
      <c r="K99" s="18"/>
      <c r="L99" s="18"/>
      <c r="M99" s="18"/>
      <c r="N99" s="18"/>
      <c r="O99" s="18"/>
      <c r="P99" s="24"/>
      <c r="Q99" s="69">
        <f t="shared" si="15"/>
        <v>500000</v>
      </c>
      <c r="R99" s="69">
        <f>397059+102941</f>
        <v>500000</v>
      </c>
      <c r="S99" s="69">
        <v>0</v>
      </c>
      <c r="T99" s="24"/>
      <c r="U99" s="69"/>
      <c r="V99" s="239"/>
      <c r="W99" s="77"/>
      <c r="X99" s="239"/>
      <c r="Y99" s="77">
        <v>250000</v>
      </c>
      <c r="Z99" s="239"/>
      <c r="AA99" s="77">
        <v>250000</v>
      </c>
      <c r="AB99" s="239"/>
      <c r="AC99" s="77"/>
      <c r="AD99" s="239"/>
      <c r="AE99" s="77"/>
      <c r="AF99" s="239"/>
      <c r="AG99" s="24"/>
    </row>
    <row r="100" spans="1:51" s="39" customFormat="1" ht="15" x14ac:dyDescent="0.25">
      <c r="A100" s="28">
        <v>2.5</v>
      </c>
      <c r="B100" s="28" t="s">
        <v>2</v>
      </c>
      <c r="C100" s="28" t="s">
        <v>238</v>
      </c>
      <c r="D100" s="29"/>
      <c r="E100" s="18"/>
      <c r="F100" s="24"/>
      <c r="G100" s="18"/>
      <c r="H100" s="18"/>
      <c r="I100" s="18"/>
      <c r="J100" s="24"/>
      <c r="K100" s="18"/>
      <c r="L100" s="18"/>
      <c r="M100" s="18"/>
      <c r="N100" s="18"/>
      <c r="O100" s="18"/>
      <c r="P100" s="24"/>
      <c r="Q100" s="69">
        <f t="shared" si="15"/>
        <v>102941</v>
      </c>
      <c r="R100" s="69">
        <v>102941</v>
      </c>
      <c r="S100" s="69">
        <v>0</v>
      </c>
      <c r="T100" s="24"/>
      <c r="U100" s="69"/>
      <c r="V100" s="239"/>
      <c r="W100" s="77">
        <v>51470.5</v>
      </c>
      <c r="X100" s="239"/>
      <c r="Y100" s="77">
        <v>51470.5</v>
      </c>
      <c r="Z100" s="239"/>
      <c r="AA100" s="77"/>
      <c r="AB100" s="239"/>
      <c r="AC100" s="77"/>
      <c r="AD100" s="239"/>
      <c r="AE100" s="77"/>
      <c r="AF100" s="239"/>
      <c r="AG100" s="24"/>
    </row>
    <row r="101" spans="1:51" s="39" customFormat="1" ht="15" x14ac:dyDescent="0.25">
      <c r="A101" s="28">
        <v>2.6</v>
      </c>
      <c r="B101" s="28" t="s">
        <v>2</v>
      </c>
      <c r="C101" s="28" t="s">
        <v>239</v>
      </c>
      <c r="D101" s="29"/>
      <c r="E101" s="18"/>
      <c r="F101" s="24"/>
      <c r="G101" s="18"/>
      <c r="H101" s="18"/>
      <c r="I101" s="18"/>
      <c r="J101" s="24"/>
      <c r="K101" s="18"/>
      <c r="L101" s="18"/>
      <c r="M101" s="18"/>
      <c r="N101" s="18"/>
      <c r="O101" s="18"/>
      <c r="P101" s="24"/>
      <c r="Q101" s="69">
        <f t="shared" si="15"/>
        <v>58824</v>
      </c>
      <c r="R101" s="69">
        <v>58824</v>
      </c>
      <c r="S101" s="69">
        <v>0</v>
      </c>
      <c r="T101" s="24"/>
      <c r="U101" s="69"/>
      <c r="V101" s="239"/>
      <c r="W101" s="77">
        <v>58824</v>
      </c>
      <c r="X101" s="239"/>
      <c r="Y101" s="77"/>
      <c r="Z101" s="239"/>
      <c r="AA101" s="77"/>
      <c r="AB101" s="239"/>
      <c r="AC101" s="77"/>
      <c r="AD101" s="239"/>
      <c r="AE101" s="77"/>
      <c r="AF101" s="239"/>
      <c r="AG101" s="24"/>
    </row>
    <row r="102" spans="1:51" s="39" customFormat="1" ht="25.5" x14ac:dyDescent="0.25">
      <c r="A102" s="28">
        <v>2.7</v>
      </c>
      <c r="B102" s="28" t="s">
        <v>2</v>
      </c>
      <c r="C102" s="28" t="s">
        <v>240</v>
      </c>
      <c r="D102" s="29"/>
      <c r="E102" s="18"/>
      <c r="F102" s="24"/>
      <c r="G102" s="18"/>
      <c r="H102" s="18"/>
      <c r="I102" s="18"/>
      <c r="J102" s="24"/>
      <c r="K102" s="18"/>
      <c r="L102" s="18"/>
      <c r="M102" s="18"/>
      <c r="N102" s="18"/>
      <c r="O102" s="18"/>
      <c r="P102" s="24"/>
      <c r="Q102" s="69">
        <f t="shared" si="15"/>
        <v>105882</v>
      </c>
      <c r="R102" s="69">
        <v>105882</v>
      </c>
      <c r="S102" s="69">
        <v>0</v>
      </c>
      <c r="T102" s="24"/>
      <c r="U102" s="69"/>
      <c r="V102" s="239"/>
      <c r="W102" s="77">
        <v>52941</v>
      </c>
      <c r="X102" s="239"/>
      <c r="Y102" s="77">
        <v>52941</v>
      </c>
      <c r="Z102" s="239"/>
      <c r="AA102" s="77"/>
      <c r="AB102" s="239"/>
      <c r="AC102" s="77"/>
      <c r="AD102" s="239"/>
      <c r="AE102" s="77"/>
      <c r="AF102" s="239"/>
      <c r="AG102" s="24"/>
    </row>
    <row r="103" spans="1:51" s="39" customFormat="1" ht="15" x14ac:dyDescent="0.25">
      <c r="A103" s="9">
        <v>3</v>
      </c>
      <c r="B103" s="9" t="s">
        <v>45</v>
      </c>
      <c r="C103" s="9" t="e">
        <f>#REF!</f>
        <v>#REF!</v>
      </c>
      <c r="D103" s="10"/>
      <c r="E103" s="11"/>
      <c r="F103" s="24"/>
      <c r="G103" s="11"/>
      <c r="H103" s="11"/>
      <c r="I103" s="11"/>
      <c r="J103" s="24"/>
      <c r="K103" s="11"/>
      <c r="L103" s="11"/>
      <c r="M103" s="11"/>
      <c r="N103" s="11"/>
      <c r="O103" s="11"/>
      <c r="P103" s="24"/>
      <c r="Q103" s="71">
        <f>SUM(Q104:Q105)</f>
        <v>37805000</v>
      </c>
      <c r="R103" s="71">
        <f>SUM(R104:R105)</f>
        <v>37805000</v>
      </c>
      <c r="S103" s="88">
        <f>SUM(S104:S105)</f>
        <v>0</v>
      </c>
      <c r="T103" s="24"/>
      <c r="U103" s="71"/>
      <c r="V103" s="241"/>
      <c r="W103" s="261"/>
      <c r="X103" s="241"/>
      <c r="Y103" s="261"/>
      <c r="Z103" s="241"/>
      <c r="AA103" s="261"/>
      <c r="AB103" s="241"/>
      <c r="AC103" s="261"/>
      <c r="AD103" s="241"/>
      <c r="AE103" s="261"/>
      <c r="AF103" s="241"/>
      <c r="AG103" s="24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</row>
    <row r="104" spans="1:51" s="39" customFormat="1" ht="15" x14ac:dyDescent="0.25">
      <c r="A104" s="28">
        <v>3.01</v>
      </c>
      <c r="B104" s="28" t="s">
        <v>2</v>
      </c>
      <c r="C104" s="28" t="s">
        <v>232</v>
      </c>
      <c r="D104" s="29"/>
      <c r="E104" s="18"/>
      <c r="F104" s="24"/>
      <c r="G104" s="18"/>
      <c r="H104" s="18"/>
      <c r="I104" s="18"/>
      <c r="J104" s="24"/>
      <c r="K104" s="18"/>
      <c r="L104" s="18"/>
      <c r="M104" s="18"/>
      <c r="N104" s="18"/>
      <c r="O104" s="18"/>
      <c r="P104" s="24"/>
      <c r="Q104" s="69">
        <f>R104+S104</f>
        <v>22893380</v>
      </c>
      <c r="R104" s="69">
        <f>22893380</f>
        <v>22893380</v>
      </c>
      <c r="S104" s="69">
        <v>0</v>
      </c>
      <c r="T104" s="24"/>
      <c r="U104" s="69"/>
      <c r="V104" s="239"/>
      <c r="W104" s="77">
        <v>2000000</v>
      </c>
      <c r="X104" s="239"/>
      <c r="Y104" s="77">
        <v>2578676</v>
      </c>
      <c r="Z104" s="239"/>
      <c r="AA104" s="77">
        <v>9157352</v>
      </c>
      <c r="AB104" s="239"/>
      <c r="AC104" s="77">
        <v>9157352</v>
      </c>
      <c r="AD104" s="239"/>
      <c r="AE104" s="77"/>
      <c r="AF104" s="239"/>
      <c r="AG104" s="24"/>
    </row>
    <row r="105" spans="1:51" s="39" customFormat="1" ht="25.5" x14ac:dyDescent="0.25">
      <c r="A105" s="28">
        <v>3.02</v>
      </c>
      <c r="B105" s="28" t="s">
        <v>2</v>
      </c>
      <c r="C105" s="28" t="s">
        <v>233</v>
      </c>
      <c r="D105" s="29"/>
      <c r="E105" s="18"/>
      <c r="F105" s="24"/>
      <c r="G105" s="18"/>
      <c r="H105" s="18"/>
      <c r="I105" s="18"/>
      <c r="J105" s="24"/>
      <c r="K105" s="18"/>
      <c r="L105" s="18"/>
      <c r="M105" s="18"/>
      <c r="N105" s="18"/>
      <c r="O105" s="18"/>
      <c r="P105" s="24"/>
      <c r="Q105" s="69">
        <f>R105+S105</f>
        <v>14911620</v>
      </c>
      <c r="R105" s="69">
        <v>14911620</v>
      </c>
      <c r="S105" s="69">
        <v>0</v>
      </c>
      <c r="T105" s="24"/>
      <c r="U105" s="69"/>
      <c r="V105" s="239"/>
      <c r="W105" s="77">
        <v>1000000</v>
      </c>
      <c r="X105" s="239"/>
      <c r="Y105" s="77">
        <v>1982324</v>
      </c>
      <c r="Z105" s="239"/>
      <c r="AA105" s="77">
        <v>5964648</v>
      </c>
      <c r="AB105" s="239"/>
      <c r="AC105" s="77">
        <v>5964648</v>
      </c>
      <c r="AD105" s="239"/>
      <c r="AE105" s="77"/>
      <c r="AF105" s="239"/>
      <c r="AG105" s="24"/>
    </row>
    <row r="106" spans="1:51" s="39" customFormat="1" ht="15" x14ac:dyDescent="0.25">
      <c r="A106" s="9">
        <v>4</v>
      </c>
      <c r="B106" s="9" t="s">
        <v>44</v>
      </c>
      <c r="C106" s="9" t="e">
        <f>#REF!</f>
        <v>#REF!</v>
      </c>
      <c r="D106" s="10"/>
      <c r="E106" s="11"/>
      <c r="F106" s="30"/>
      <c r="G106" s="11"/>
      <c r="H106" s="11"/>
      <c r="I106" s="11"/>
      <c r="J106" s="30"/>
      <c r="K106" s="11"/>
      <c r="L106" s="11"/>
      <c r="M106" s="11"/>
      <c r="N106" s="11"/>
      <c r="O106" s="11"/>
      <c r="P106" s="30"/>
      <c r="Q106" s="71">
        <f>SUM(Q107:Q114)</f>
        <v>8242000</v>
      </c>
      <c r="R106" s="71">
        <f>SUM(R107:R114)</f>
        <v>7973000</v>
      </c>
      <c r="S106" s="88">
        <f>SUM(S107:S114)</f>
        <v>269000</v>
      </c>
      <c r="T106" s="24"/>
      <c r="U106" s="71"/>
      <c r="V106" s="241"/>
      <c r="W106" s="261"/>
      <c r="X106" s="241"/>
      <c r="Y106" s="261"/>
      <c r="Z106" s="241"/>
      <c r="AA106" s="261"/>
      <c r="AB106" s="241"/>
      <c r="AC106" s="261"/>
      <c r="AD106" s="241"/>
      <c r="AE106" s="261"/>
      <c r="AF106" s="241"/>
      <c r="AG106" s="30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</row>
    <row r="107" spans="1:51" s="39" customFormat="1" ht="15" x14ac:dyDescent="0.25">
      <c r="A107" s="28">
        <v>4.01</v>
      </c>
      <c r="B107" s="28" t="s">
        <v>11</v>
      </c>
      <c r="C107" s="28" t="s">
        <v>163</v>
      </c>
      <c r="D107" s="29"/>
      <c r="E107" s="18"/>
      <c r="F107" s="24"/>
      <c r="G107" s="18"/>
      <c r="H107" s="18"/>
      <c r="I107" s="18"/>
      <c r="J107" s="24"/>
      <c r="K107" s="18"/>
      <c r="L107" s="18"/>
      <c r="M107" s="18"/>
      <c r="N107" s="18"/>
      <c r="O107" s="18"/>
      <c r="P107" s="24"/>
      <c r="Q107" s="69">
        <f>R107+S107</f>
        <v>1442560</v>
      </c>
      <c r="R107" s="69">
        <v>1442560</v>
      </c>
      <c r="S107" s="69">
        <v>0</v>
      </c>
      <c r="T107" s="24"/>
      <c r="U107" s="69"/>
      <c r="V107" s="239"/>
      <c r="W107" s="77">
        <v>194256</v>
      </c>
      <c r="X107" s="239"/>
      <c r="Y107" s="77">
        <v>324576</v>
      </c>
      <c r="Z107" s="239"/>
      <c r="AA107" s="77">
        <v>324576</v>
      </c>
      <c r="AB107" s="239"/>
      <c r="AC107" s="77">
        <v>324576</v>
      </c>
      <c r="AD107" s="239"/>
      <c r="AE107" s="77">
        <v>274576</v>
      </c>
      <c r="AF107" s="239"/>
      <c r="AG107" s="24"/>
    </row>
    <row r="108" spans="1:51" s="39" customFormat="1" ht="15" x14ac:dyDescent="0.25">
      <c r="A108" s="28">
        <v>4.0199999999999996</v>
      </c>
      <c r="B108" s="28" t="s">
        <v>11</v>
      </c>
      <c r="C108" s="28" t="s">
        <v>164</v>
      </c>
      <c r="D108" s="29"/>
      <c r="E108" s="18"/>
      <c r="F108" s="24"/>
      <c r="G108" s="18"/>
      <c r="H108" s="18"/>
      <c r="I108" s="18"/>
      <c r="J108" s="24"/>
      <c r="K108" s="18"/>
      <c r="L108" s="18"/>
      <c r="M108" s="18"/>
      <c r="N108" s="18"/>
      <c r="O108" s="18"/>
      <c r="P108" s="24"/>
      <c r="Q108" s="69">
        <f t="shared" ref="Q108:Q114" si="16">R108+S108</f>
        <v>194118</v>
      </c>
      <c r="R108" s="69">
        <v>194118</v>
      </c>
      <c r="S108" s="69">
        <v>0</v>
      </c>
      <c r="T108" s="24"/>
      <c r="U108" s="69"/>
      <c r="V108" s="239"/>
      <c r="W108" s="77">
        <v>27176.52</v>
      </c>
      <c r="X108" s="239"/>
      <c r="Y108" s="77">
        <v>48529.5</v>
      </c>
      <c r="Z108" s="239"/>
      <c r="AA108" s="77">
        <v>38823.599999999999</v>
      </c>
      <c r="AB108" s="239"/>
      <c r="AC108" s="77">
        <v>38823.599999999999</v>
      </c>
      <c r="AD108" s="239"/>
      <c r="AE108" s="77">
        <v>40764.78</v>
      </c>
      <c r="AF108" s="239"/>
      <c r="AG108" s="24"/>
    </row>
    <row r="109" spans="1:51" s="39" customFormat="1" ht="15" x14ac:dyDescent="0.25">
      <c r="A109" s="28">
        <v>4.03</v>
      </c>
      <c r="B109" s="28" t="s">
        <v>11</v>
      </c>
      <c r="C109" s="28" t="s">
        <v>165</v>
      </c>
      <c r="D109" s="29"/>
      <c r="E109" s="18"/>
      <c r="F109" s="24"/>
      <c r="G109" s="18"/>
      <c r="H109" s="18"/>
      <c r="I109" s="18"/>
      <c r="J109" s="24"/>
      <c r="K109" s="18"/>
      <c r="L109" s="18"/>
      <c r="M109" s="18"/>
      <c r="N109" s="18"/>
      <c r="O109" s="18"/>
      <c r="P109" s="24"/>
      <c r="Q109" s="69">
        <f t="shared" si="16"/>
        <v>3935294</v>
      </c>
      <c r="R109" s="69">
        <v>3935294</v>
      </c>
      <c r="S109" s="69">
        <v>0</v>
      </c>
      <c r="T109" s="30"/>
      <c r="U109" s="69"/>
      <c r="V109" s="239"/>
      <c r="W109" s="77">
        <v>472235.28</v>
      </c>
      <c r="X109" s="239"/>
      <c r="Y109" s="77">
        <v>944470.56</v>
      </c>
      <c r="Z109" s="239"/>
      <c r="AA109" s="77">
        <v>944470.56</v>
      </c>
      <c r="AB109" s="239"/>
      <c r="AC109" s="77">
        <v>905117.62</v>
      </c>
      <c r="AD109" s="239"/>
      <c r="AE109" s="77">
        <v>668999.98</v>
      </c>
      <c r="AF109" s="239"/>
      <c r="AG109" s="24"/>
    </row>
    <row r="110" spans="1:51" s="39" customFormat="1" ht="15" x14ac:dyDescent="0.25">
      <c r="A110" s="28">
        <v>4.04</v>
      </c>
      <c r="B110" s="28" t="s">
        <v>11</v>
      </c>
      <c r="C110" s="28" t="s">
        <v>166</v>
      </c>
      <c r="D110" s="29"/>
      <c r="E110" s="18"/>
      <c r="F110" s="24"/>
      <c r="G110" s="18"/>
      <c r="H110" s="18"/>
      <c r="I110" s="18"/>
      <c r="J110" s="24"/>
      <c r="K110" s="18"/>
      <c r="L110" s="18"/>
      <c r="M110" s="18"/>
      <c r="N110" s="18"/>
      <c r="O110" s="18"/>
      <c r="P110" s="24"/>
      <c r="Q110" s="69">
        <f t="shared" si="16"/>
        <v>147059</v>
      </c>
      <c r="R110" s="69">
        <v>147059</v>
      </c>
      <c r="S110" s="69">
        <v>0</v>
      </c>
      <c r="T110" s="24"/>
      <c r="U110" s="69"/>
      <c r="V110" s="239"/>
      <c r="W110" s="77">
        <v>147059</v>
      </c>
      <c r="X110" s="239"/>
      <c r="Y110" s="77"/>
      <c r="Z110" s="239"/>
      <c r="AA110" s="77"/>
      <c r="AB110" s="239"/>
      <c r="AC110" s="77"/>
      <c r="AD110" s="239"/>
      <c r="AE110" s="77"/>
      <c r="AF110" s="239"/>
      <c r="AG110" s="24"/>
    </row>
    <row r="111" spans="1:51" s="39" customFormat="1" ht="15" x14ac:dyDescent="0.25">
      <c r="A111" s="28">
        <v>4.05</v>
      </c>
      <c r="B111" s="28" t="s">
        <v>11</v>
      </c>
      <c r="C111" s="28" t="s">
        <v>167</v>
      </c>
      <c r="D111" s="29"/>
      <c r="E111" s="18"/>
      <c r="F111" s="24"/>
      <c r="G111" s="18"/>
      <c r="H111" s="18"/>
      <c r="I111" s="18"/>
      <c r="J111" s="24"/>
      <c r="K111" s="18"/>
      <c r="L111" s="18"/>
      <c r="M111" s="18"/>
      <c r="N111" s="18"/>
      <c r="O111" s="18"/>
      <c r="P111" s="24"/>
      <c r="Q111" s="69">
        <f t="shared" si="16"/>
        <v>176471</v>
      </c>
      <c r="R111" s="69">
        <v>176471</v>
      </c>
      <c r="S111" s="69">
        <v>0</v>
      </c>
      <c r="T111" s="24"/>
      <c r="U111" s="69"/>
      <c r="V111" s="239"/>
      <c r="W111" s="77"/>
      <c r="X111" s="239"/>
      <c r="Y111" s="77"/>
      <c r="Z111" s="239"/>
      <c r="AA111" s="77">
        <v>44117.75</v>
      </c>
      <c r="AB111" s="239"/>
      <c r="AC111" s="77"/>
      <c r="AD111" s="239"/>
      <c r="AE111" s="77">
        <v>132353.25</v>
      </c>
      <c r="AF111" s="239"/>
      <c r="AG111" s="24"/>
    </row>
    <row r="112" spans="1:51" s="39" customFormat="1" ht="15" x14ac:dyDescent="0.25">
      <c r="A112" s="28">
        <v>4.0599999999999996</v>
      </c>
      <c r="B112" s="28" t="s">
        <v>11</v>
      </c>
      <c r="C112" s="28" t="s">
        <v>168</v>
      </c>
      <c r="D112" s="29"/>
      <c r="E112" s="18"/>
      <c r="F112" s="24"/>
      <c r="G112" s="18"/>
      <c r="H112" s="18"/>
      <c r="I112" s="18"/>
      <c r="J112" s="24"/>
      <c r="K112" s="18"/>
      <c r="L112" s="18"/>
      <c r="M112" s="18"/>
      <c r="N112" s="18"/>
      <c r="O112" s="18"/>
      <c r="P112" s="24"/>
      <c r="Q112" s="69">
        <f t="shared" si="16"/>
        <v>176471</v>
      </c>
      <c r="R112" s="69">
        <v>176471</v>
      </c>
      <c r="S112" s="69">
        <v>0</v>
      </c>
      <c r="T112" s="24"/>
      <c r="U112" s="69"/>
      <c r="V112" s="239"/>
      <c r="W112" s="77">
        <v>35294.199999999997</v>
      </c>
      <c r="X112" s="239"/>
      <c r="Y112" s="77">
        <v>35294.199999999997</v>
      </c>
      <c r="Z112" s="239"/>
      <c r="AA112" s="77">
        <v>35294.199999999997</v>
      </c>
      <c r="AB112" s="239"/>
      <c r="AC112" s="77">
        <v>35294.199999999997</v>
      </c>
      <c r="AD112" s="239"/>
      <c r="AE112" s="77">
        <v>35294.199999999997</v>
      </c>
      <c r="AF112" s="239"/>
      <c r="AG112" s="24"/>
    </row>
    <row r="113" spans="1:51" s="39" customFormat="1" ht="15" x14ac:dyDescent="0.25">
      <c r="A113" s="28">
        <v>4.07</v>
      </c>
      <c r="B113" s="28" t="s">
        <v>11</v>
      </c>
      <c r="C113" s="28" t="s">
        <v>169</v>
      </c>
      <c r="D113" s="29"/>
      <c r="E113" s="18"/>
      <c r="F113" s="24"/>
      <c r="G113" s="18"/>
      <c r="H113" s="18"/>
      <c r="I113" s="18"/>
      <c r="J113" s="24"/>
      <c r="K113" s="18"/>
      <c r="L113" s="18"/>
      <c r="M113" s="18"/>
      <c r="N113" s="18"/>
      <c r="O113" s="18"/>
      <c r="P113" s="24"/>
      <c r="Q113" s="69">
        <f t="shared" si="16"/>
        <v>269000</v>
      </c>
      <c r="R113" s="69">
        <v>0</v>
      </c>
      <c r="S113" s="69">
        <v>269000</v>
      </c>
      <c r="T113" s="24"/>
      <c r="U113" s="69"/>
      <c r="V113" s="239"/>
      <c r="W113" s="77"/>
      <c r="X113" s="239">
        <v>269000</v>
      </c>
      <c r="Y113" s="77"/>
      <c r="Z113" s="239"/>
      <c r="AA113" s="77"/>
      <c r="AB113" s="239"/>
      <c r="AC113" s="77"/>
      <c r="AD113" s="239"/>
      <c r="AE113" s="77"/>
      <c r="AF113" s="239"/>
      <c r="AG113" s="24"/>
    </row>
    <row r="114" spans="1:51" s="39" customFormat="1" ht="15" x14ac:dyDescent="0.25">
      <c r="A114" s="28" t="s">
        <v>53</v>
      </c>
      <c r="B114" s="28" t="s">
        <v>11</v>
      </c>
      <c r="C114" s="28" t="s">
        <v>177</v>
      </c>
      <c r="D114" s="29"/>
      <c r="E114" s="18"/>
      <c r="F114" s="24"/>
      <c r="G114" s="18"/>
      <c r="H114" s="18"/>
      <c r="I114" s="18"/>
      <c r="J114" s="24"/>
      <c r="K114" s="18"/>
      <c r="L114" s="18"/>
      <c r="M114" s="18"/>
      <c r="N114" s="18"/>
      <c r="O114" s="18"/>
      <c r="P114" s="24"/>
      <c r="Q114" s="69">
        <f t="shared" si="16"/>
        <v>1901027</v>
      </c>
      <c r="R114" s="69">
        <v>1901027</v>
      </c>
      <c r="S114" s="69">
        <v>0</v>
      </c>
      <c r="T114" s="24"/>
      <c r="U114" s="69"/>
      <c r="V114" s="239"/>
      <c r="W114" s="77">
        <v>247133.51</v>
      </c>
      <c r="X114" s="239"/>
      <c r="Y114" s="77">
        <v>456246.48</v>
      </c>
      <c r="Z114" s="239"/>
      <c r="AA114" s="77">
        <v>817441.61</v>
      </c>
      <c r="AB114" s="239"/>
      <c r="AC114" s="77">
        <v>380206</v>
      </c>
      <c r="AD114" s="239"/>
      <c r="AE114" s="77"/>
      <c r="AF114" s="239"/>
      <c r="AG114" s="24"/>
    </row>
    <row r="115" spans="1:51" s="39" customFormat="1" ht="33" customHeight="1" x14ac:dyDescent="0.25">
      <c r="A115" s="9">
        <v>5</v>
      </c>
      <c r="B115" s="9" t="s">
        <v>44</v>
      </c>
      <c r="C115" s="9" t="e">
        <f>#REF!</f>
        <v>#REF!</v>
      </c>
      <c r="D115" s="10"/>
      <c r="E115" s="11"/>
      <c r="F115" s="24"/>
      <c r="G115" s="11"/>
      <c r="H115" s="11"/>
      <c r="I115" s="11"/>
      <c r="J115" s="24"/>
      <c r="K115" s="11"/>
      <c r="L115" s="11"/>
      <c r="M115" s="11"/>
      <c r="N115" s="11"/>
      <c r="O115" s="11"/>
      <c r="P115" s="24"/>
      <c r="Q115" s="71">
        <f>R115+S115</f>
        <v>3930000</v>
      </c>
      <c r="R115" s="71">
        <f>SUM(R116:R117)</f>
        <v>2083000</v>
      </c>
      <c r="S115" s="71">
        <f>SUM(S116:S117)</f>
        <v>1847000</v>
      </c>
      <c r="T115" s="24"/>
      <c r="U115" s="71"/>
      <c r="V115" s="241"/>
      <c r="W115" s="261"/>
      <c r="X115" s="241"/>
      <c r="Y115" s="261"/>
      <c r="Z115" s="241"/>
      <c r="AA115" s="261"/>
      <c r="AB115" s="241"/>
      <c r="AC115" s="261"/>
      <c r="AD115" s="241"/>
      <c r="AE115" s="261"/>
      <c r="AF115" s="241"/>
      <c r="AG115" s="24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</row>
    <row r="116" spans="1:51" s="39" customFormat="1" ht="15" x14ac:dyDescent="0.25">
      <c r="A116" s="15">
        <v>5.0999999999999996</v>
      </c>
      <c r="B116" s="28" t="s">
        <v>11</v>
      </c>
      <c r="C116" s="15" t="s">
        <v>179</v>
      </c>
      <c r="D116" s="16"/>
      <c r="E116" s="17"/>
      <c r="F116" s="24"/>
      <c r="G116" s="17"/>
      <c r="H116" s="17"/>
      <c r="I116" s="17"/>
      <c r="J116" s="24"/>
      <c r="K116" s="17"/>
      <c r="L116" s="17"/>
      <c r="M116" s="17"/>
      <c r="N116" s="17"/>
      <c r="O116" s="17"/>
      <c r="P116" s="24"/>
      <c r="Q116" s="69">
        <f t="shared" ref="Q116" si="17">R116+S116</f>
        <v>2047000</v>
      </c>
      <c r="R116" s="69">
        <v>200000</v>
      </c>
      <c r="S116" s="69">
        <v>1847000</v>
      </c>
      <c r="T116" s="24"/>
      <c r="U116" s="69"/>
      <c r="V116" s="239"/>
      <c r="W116" s="77">
        <v>200000</v>
      </c>
      <c r="X116" s="239">
        <v>1625360</v>
      </c>
      <c r="Y116" s="77"/>
      <c r="Z116" s="239">
        <v>221640</v>
      </c>
      <c r="AA116" s="77"/>
      <c r="AB116" s="239"/>
      <c r="AC116" s="77"/>
      <c r="AD116" s="239"/>
      <c r="AE116" s="77"/>
      <c r="AF116" s="239"/>
      <c r="AG116" s="24"/>
    </row>
    <row r="117" spans="1:51" s="39" customFormat="1" ht="25.5" x14ac:dyDescent="0.25">
      <c r="A117" s="15">
        <v>5.2</v>
      </c>
      <c r="B117" s="28" t="s">
        <v>11</v>
      </c>
      <c r="C117" s="15" t="s">
        <v>234</v>
      </c>
      <c r="D117" s="16"/>
      <c r="E117" s="17"/>
      <c r="F117" s="24"/>
      <c r="G117" s="17"/>
      <c r="H117" s="17"/>
      <c r="I117" s="17"/>
      <c r="J117" s="24"/>
      <c r="K117" s="17"/>
      <c r="L117" s="17"/>
      <c r="M117" s="17"/>
      <c r="N117" s="17"/>
      <c r="O117" s="17"/>
      <c r="P117" s="24"/>
      <c r="Q117" s="69">
        <f>R117</f>
        <v>1883000</v>
      </c>
      <c r="R117" s="69">
        <f>1882353+588+59</f>
        <v>1883000</v>
      </c>
      <c r="S117" s="69">
        <v>0</v>
      </c>
      <c r="T117" s="24"/>
      <c r="U117" s="69"/>
      <c r="V117" s="239"/>
      <c r="W117" s="77">
        <v>588437.5</v>
      </c>
      <c r="X117" s="239"/>
      <c r="Y117" s="77">
        <v>1294562.5</v>
      </c>
      <c r="Z117" s="239"/>
      <c r="AA117" s="77"/>
      <c r="AB117" s="239"/>
      <c r="AC117" s="77"/>
      <c r="AD117" s="239"/>
      <c r="AE117" s="77"/>
      <c r="AF117" s="239"/>
      <c r="AG117" s="24"/>
    </row>
    <row r="118" spans="1:51" s="45" customFormat="1" ht="15" x14ac:dyDescent="0.25">
      <c r="A118" s="25"/>
      <c r="B118" s="25"/>
      <c r="C118" s="25" t="s">
        <v>9</v>
      </c>
      <c r="D118" s="26"/>
      <c r="E118" s="27"/>
      <c r="F118" s="24"/>
      <c r="G118" s="27"/>
      <c r="H118" s="27"/>
      <c r="I118" s="27"/>
      <c r="J118" s="24"/>
      <c r="K118" s="27"/>
      <c r="L118" s="27"/>
      <c r="M118" s="27"/>
      <c r="N118" s="27"/>
      <c r="O118" s="27"/>
      <c r="P118" s="24"/>
      <c r="Q118" s="70">
        <f>Q3+Q95+Q103+Q106+Q115</f>
        <v>150597515.65065014</v>
      </c>
      <c r="R118" s="70">
        <f>R3+R95+R103+R106+R115</f>
        <v>75200000</v>
      </c>
      <c r="S118" s="89">
        <f>S3+S95+S103+S106+S115</f>
        <v>75397515.650650159</v>
      </c>
      <c r="T118" s="24"/>
      <c r="U118" s="70"/>
      <c r="V118" s="242"/>
      <c r="W118" s="262"/>
      <c r="X118" s="242"/>
      <c r="Y118" s="262"/>
      <c r="Z118" s="242"/>
      <c r="AA118" s="262"/>
      <c r="AB118" s="242"/>
      <c r="AC118" s="262"/>
      <c r="AD118" s="242"/>
      <c r="AE118" s="262"/>
      <c r="AF118" s="242"/>
      <c r="AG118" s="2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</row>
    <row r="119" spans="1:51" s="39" customFormat="1" ht="14.25" customHeight="1" x14ac:dyDescent="0.25">
      <c r="A119" s="294" t="s">
        <v>327</v>
      </c>
      <c r="B119" s="295"/>
      <c r="C119" s="296"/>
      <c r="D119" s="43"/>
      <c r="E119" s="42"/>
      <c r="F119" s="24"/>
      <c r="G119" s="42"/>
      <c r="H119" s="42"/>
      <c r="I119" s="42"/>
      <c r="J119" s="24"/>
      <c r="K119" s="42"/>
      <c r="L119" s="42"/>
      <c r="M119" s="42"/>
      <c r="N119" s="42"/>
      <c r="O119" s="42"/>
      <c r="P119" s="24"/>
      <c r="Q119" s="42"/>
      <c r="T119" s="24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24"/>
    </row>
    <row r="120" spans="1:51" s="39" customFormat="1" ht="15" x14ac:dyDescent="0.25">
      <c r="A120" s="41"/>
      <c r="B120" s="41"/>
      <c r="C120" s="41"/>
      <c r="D120" s="43"/>
      <c r="E120" s="42"/>
      <c r="F120" s="24"/>
      <c r="G120" s="42"/>
      <c r="H120" s="42"/>
      <c r="I120" s="42"/>
      <c r="J120" s="24"/>
      <c r="K120" s="42"/>
      <c r="L120" s="42"/>
      <c r="M120" s="42"/>
      <c r="N120" s="42"/>
      <c r="O120" s="42"/>
      <c r="P120" s="24"/>
      <c r="Q120" s="42"/>
      <c r="R120" s="42">
        <f>3930000-Q115</f>
        <v>0</v>
      </c>
      <c r="S120" s="42"/>
      <c r="T120" s="24"/>
      <c r="U120" s="42"/>
      <c r="V120" s="42"/>
      <c r="W120" s="42"/>
      <c r="X120" s="78"/>
      <c r="Y120" s="78"/>
      <c r="Z120" s="42"/>
      <c r="AA120" s="42"/>
      <c r="AB120" s="42"/>
      <c r="AC120" s="42"/>
      <c r="AD120" s="42"/>
      <c r="AE120" s="42"/>
      <c r="AF120" s="42"/>
      <c r="AG120" s="24"/>
    </row>
    <row r="121" spans="1:51" s="39" customFormat="1" ht="15" x14ac:dyDescent="0.25">
      <c r="A121" s="41"/>
      <c r="B121" s="41"/>
      <c r="C121" s="41"/>
      <c r="D121" s="43"/>
      <c r="E121" s="42"/>
      <c r="F121" s="24"/>
      <c r="G121" s="42"/>
      <c r="H121" s="42"/>
      <c r="I121" s="42"/>
      <c r="J121" s="24"/>
      <c r="K121" s="42"/>
      <c r="L121" s="42"/>
      <c r="M121" s="42"/>
      <c r="N121" s="42"/>
      <c r="O121" s="42"/>
      <c r="P121" s="24"/>
      <c r="Q121" s="42"/>
      <c r="R121" s="42"/>
      <c r="S121" s="42"/>
      <c r="T121" s="24"/>
      <c r="U121" s="42"/>
      <c r="V121" s="42"/>
      <c r="W121" s="42"/>
      <c r="X121" s="78"/>
      <c r="Y121" s="78"/>
      <c r="Z121" s="42"/>
      <c r="AA121" s="42"/>
      <c r="AB121" s="42"/>
      <c r="AC121" s="42"/>
      <c r="AD121" s="42"/>
      <c r="AE121" s="42"/>
      <c r="AF121" s="42"/>
      <c r="AG121" s="24"/>
    </row>
    <row r="122" spans="1:51" s="39" customFormat="1" ht="15" x14ac:dyDescent="0.25">
      <c r="A122" s="41"/>
      <c r="B122" s="41"/>
      <c r="C122" s="41"/>
      <c r="D122" s="43"/>
      <c r="E122" s="42"/>
      <c r="F122" s="24"/>
      <c r="G122" s="42"/>
      <c r="H122" s="42"/>
      <c r="I122" s="42"/>
      <c r="J122" s="24"/>
      <c r="K122" s="42"/>
      <c r="L122" s="42"/>
      <c r="M122" s="42"/>
      <c r="N122" s="42"/>
      <c r="O122" s="42"/>
      <c r="P122" s="24"/>
      <c r="Q122" s="42"/>
      <c r="R122" s="74"/>
      <c r="S122" s="42"/>
      <c r="T122" s="24"/>
      <c r="U122" s="42"/>
      <c r="V122" s="42"/>
      <c r="W122" s="42"/>
      <c r="X122" s="78"/>
      <c r="Y122" s="78"/>
      <c r="Z122" s="42"/>
      <c r="AA122" s="42"/>
      <c r="AB122" s="42"/>
      <c r="AC122" s="42"/>
      <c r="AD122" s="42"/>
      <c r="AE122" s="42"/>
      <c r="AF122" s="42"/>
      <c r="AG122" s="24"/>
    </row>
    <row r="123" spans="1:51" s="39" customFormat="1" ht="15" x14ac:dyDescent="0.25">
      <c r="A123" s="41"/>
      <c r="B123" s="41"/>
      <c r="C123" s="41"/>
      <c r="D123" s="43"/>
      <c r="E123" s="42"/>
      <c r="F123" s="24"/>
      <c r="G123" s="42"/>
      <c r="H123" s="42"/>
      <c r="I123" s="42"/>
      <c r="J123" s="24"/>
      <c r="K123" s="42"/>
      <c r="L123" s="42"/>
      <c r="M123" s="42"/>
      <c r="N123" s="42"/>
      <c r="O123" s="42"/>
      <c r="P123" s="24"/>
      <c r="Q123" s="42"/>
      <c r="R123" s="42"/>
      <c r="S123" s="42"/>
      <c r="T123" s="24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24"/>
    </row>
    <row r="124" spans="1:51" s="39" customFormat="1" ht="15" x14ac:dyDescent="0.25">
      <c r="A124"/>
      <c r="B124"/>
      <c r="C124"/>
      <c r="D124" s="46"/>
      <c r="E124" s="47"/>
      <c r="F124" s="24"/>
      <c r="G124" s="47"/>
      <c r="H124" s="47"/>
      <c r="I124" s="47"/>
      <c r="J124" s="24"/>
      <c r="K124" s="47"/>
      <c r="L124" s="47"/>
      <c r="M124" s="47"/>
      <c r="N124" s="47"/>
      <c r="O124" s="47"/>
      <c r="P124" s="24"/>
      <c r="Q124" s="47"/>
      <c r="R124" s="47"/>
      <c r="S124" s="47"/>
      <c r="T124" s="24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24"/>
      <c r="AH124"/>
      <c r="AI124"/>
      <c r="AJ124"/>
      <c r="AK124"/>
      <c r="AL124"/>
      <c r="AM124"/>
      <c r="AN124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</row>
    <row r="125" spans="1:51" s="39" customFormat="1" ht="15" x14ac:dyDescent="0.25">
      <c r="A125"/>
      <c r="B125"/>
      <c r="C125"/>
      <c r="D125" s="46"/>
      <c r="E125" s="47"/>
      <c r="F125" s="24"/>
      <c r="G125" s="47"/>
      <c r="H125" s="47"/>
      <c r="I125" s="47"/>
      <c r="J125" s="24"/>
      <c r="K125" s="47"/>
      <c r="L125" s="47"/>
      <c r="M125" s="47"/>
      <c r="N125" s="47"/>
      <c r="O125" s="47"/>
      <c r="P125" s="24"/>
      <c r="Q125" s="47"/>
      <c r="R125" s="47"/>
      <c r="S125" s="47"/>
      <c r="T125" s="24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24"/>
      <c r="AH125"/>
      <c r="AI125"/>
      <c r="AJ125"/>
      <c r="AK125"/>
      <c r="AL125"/>
      <c r="AM125"/>
      <c r="AN125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</row>
    <row r="126" spans="1:51" s="39" customFormat="1" ht="15" x14ac:dyDescent="0.25">
      <c r="A126"/>
      <c r="B126"/>
      <c r="C126"/>
      <c r="D126" s="46"/>
      <c r="E126" s="47"/>
      <c r="F126" s="24"/>
      <c r="G126" s="47"/>
      <c r="H126" s="47"/>
      <c r="I126" s="47"/>
      <c r="J126" s="24"/>
      <c r="K126" s="47"/>
      <c r="L126" s="47"/>
      <c r="M126" s="47"/>
      <c r="N126" s="47"/>
      <c r="O126" s="47"/>
      <c r="P126" s="24"/>
      <c r="Q126" s="47"/>
      <c r="R126" s="47"/>
      <c r="S126" s="47"/>
      <c r="T126" s="24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24"/>
      <c r="AH126"/>
      <c r="AI126"/>
      <c r="AJ126"/>
      <c r="AK126"/>
      <c r="AL126"/>
      <c r="AM126"/>
      <c r="AN126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s="39" customFormat="1" ht="15" x14ac:dyDescent="0.25">
      <c r="A127"/>
      <c r="B127"/>
      <c r="C127"/>
      <c r="D127" s="46"/>
      <c r="E127" s="47"/>
      <c r="F127" s="24"/>
      <c r="G127" s="47"/>
      <c r="H127" s="47"/>
      <c r="I127" s="47"/>
      <c r="J127" s="24"/>
      <c r="K127" s="47"/>
      <c r="L127" s="47"/>
      <c r="M127" s="47"/>
      <c r="N127" s="47"/>
      <c r="O127" s="47"/>
      <c r="P127" s="24"/>
      <c r="Q127" s="47"/>
      <c r="R127" s="47"/>
      <c r="S127" s="47"/>
      <c r="T127" s="24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24"/>
      <c r="AH127"/>
      <c r="AI127"/>
      <c r="AJ127"/>
      <c r="AK127"/>
      <c r="AL127"/>
      <c r="AM127"/>
      <c r="AN127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</row>
    <row r="128" spans="1:51" s="39" customFormat="1" ht="15" x14ac:dyDescent="0.25">
      <c r="A128"/>
      <c r="B128"/>
      <c r="C128"/>
      <c r="D128" s="46"/>
      <c r="E128" s="47"/>
      <c r="F128" s="24"/>
      <c r="G128" s="47"/>
      <c r="H128" s="47"/>
      <c r="I128" s="47"/>
      <c r="J128" s="24"/>
      <c r="K128" s="47"/>
      <c r="L128" s="47"/>
      <c r="M128" s="47"/>
      <c r="N128" s="47"/>
      <c r="O128" s="47"/>
      <c r="P128" s="24"/>
      <c r="Q128" s="279"/>
      <c r="R128" s="279"/>
      <c r="S128" s="279"/>
      <c r="T128" s="24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24"/>
      <c r="AH128"/>
      <c r="AI128"/>
      <c r="AJ128"/>
      <c r="AK128"/>
      <c r="AL128"/>
      <c r="AM128"/>
      <c r="AN12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</row>
    <row r="129" spans="1:51" s="39" customFormat="1" ht="15" x14ac:dyDescent="0.25">
      <c r="A129"/>
      <c r="B129"/>
      <c r="C129"/>
      <c r="D129" s="46"/>
      <c r="E129" s="47"/>
      <c r="F129" s="24"/>
      <c r="G129" s="47"/>
      <c r="H129" s="47"/>
      <c r="I129" s="47"/>
      <c r="J129" s="24"/>
      <c r="K129" s="47"/>
      <c r="L129" s="47"/>
      <c r="M129" s="47"/>
      <c r="N129" s="47"/>
      <c r="O129" s="47"/>
      <c r="P129" s="24"/>
      <c r="Q129" s="47"/>
      <c r="R129" s="47"/>
      <c r="S129" s="47"/>
      <c r="T129" s="24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24"/>
      <c r="AH129"/>
      <c r="AI129"/>
      <c r="AJ129"/>
      <c r="AK129"/>
      <c r="AL129"/>
      <c r="AM129"/>
      <c r="AN129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</row>
    <row r="130" spans="1:51" s="39" customFormat="1" ht="15" x14ac:dyDescent="0.25">
      <c r="A130"/>
      <c r="B130"/>
      <c r="C130"/>
      <c r="D130" s="46"/>
      <c r="E130" s="47"/>
      <c r="F130" s="24"/>
      <c r="G130" s="47"/>
      <c r="H130" s="47"/>
      <c r="I130" s="47"/>
      <c r="J130" s="24"/>
      <c r="K130" s="47"/>
      <c r="L130" s="47"/>
      <c r="M130" s="47"/>
      <c r="N130" s="47"/>
      <c r="O130" s="47"/>
      <c r="P130" s="24"/>
      <c r="Q130" s="47"/>
      <c r="R130" s="279"/>
      <c r="S130" s="47"/>
      <c r="T130" s="24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24"/>
      <c r="AH130"/>
      <c r="AI130"/>
      <c r="AJ130"/>
      <c r="AK130"/>
      <c r="AL130"/>
      <c r="AM130"/>
      <c r="AN130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</row>
    <row r="131" spans="1:51" s="39" customFormat="1" ht="15" x14ac:dyDescent="0.25">
      <c r="A131"/>
      <c r="B131"/>
      <c r="C131"/>
      <c r="D131" s="46"/>
      <c r="E131" s="47"/>
      <c r="F131" s="24"/>
      <c r="G131" s="47"/>
      <c r="H131" s="47"/>
      <c r="I131" s="47"/>
      <c r="J131" s="24"/>
      <c r="K131" s="47"/>
      <c r="L131" s="47"/>
      <c r="M131" s="47"/>
      <c r="N131" s="47"/>
      <c r="O131" s="47"/>
      <c r="P131" s="24"/>
      <c r="Q131" s="47"/>
      <c r="R131" s="47"/>
      <c r="S131" s="47"/>
      <c r="T131" s="24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24"/>
      <c r="AH131"/>
      <c r="AI131"/>
      <c r="AJ131"/>
      <c r="AK131"/>
      <c r="AL131"/>
      <c r="AM131"/>
      <c r="AN131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</row>
    <row r="132" spans="1:51" s="39" customFormat="1" ht="15" x14ac:dyDescent="0.25">
      <c r="A132"/>
      <c r="B132"/>
      <c r="C132"/>
      <c r="D132" s="46"/>
      <c r="E132" s="47"/>
      <c r="F132" s="24"/>
      <c r="G132" s="47"/>
      <c r="H132" s="47"/>
      <c r="I132" s="47"/>
      <c r="J132" s="24"/>
      <c r="K132" s="47"/>
      <c r="L132" s="47"/>
      <c r="M132" s="47"/>
      <c r="N132" s="47"/>
      <c r="O132" s="47"/>
      <c r="P132" s="24"/>
      <c r="Q132" s="47"/>
      <c r="R132" s="47"/>
      <c r="S132" s="47"/>
      <c r="T132" s="24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24"/>
      <c r="AH132"/>
      <c r="AI132"/>
      <c r="AJ132"/>
      <c r="AK132"/>
      <c r="AL132"/>
      <c r="AM132"/>
      <c r="AN132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</row>
    <row r="133" spans="1:51" s="39" customFormat="1" ht="15" x14ac:dyDescent="0.25">
      <c r="A133"/>
      <c r="B133"/>
      <c r="C133"/>
      <c r="D133" s="46"/>
      <c r="E133" s="47"/>
      <c r="F133" s="24"/>
      <c r="G133" s="47"/>
      <c r="H133" s="47"/>
      <c r="I133" s="47"/>
      <c r="J133" s="24"/>
      <c r="K133" s="47"/>
      <c r="L133" s="47"/>
      <c r="M133" s="47"/>
      <c r="N133" s="47"/>
      <c r="O133" s="47"/>
      <c r="P133" s="24"/>
      <c r="Q133" s="47"/>
      <c r="R133" s="47"/>
      <c r="S133" s="47"/>
      <c r="T133" s="24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24"/>
      <c r="AH133"/>
      <c r="AI133"/>
      <c r="AJ133"/>
      <c r="AK133"/>
      <c r="AL133"/>
      <c r="AM133"/>
      <c r="AN133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</row>
    <row r="134" spans="1:51" s="39" customFormat="1" ht="15" x14ac:dyDescent="0.25">
      <c r="A134"/>
      <c r="B134"/>
      <c r="C134"/>
      <c r="D134" s="46"/>
      <c r="E134" s="47"/>
      <c r="F134" s="24"/>
      <c r="G134" s="47"/>
      <c r="H134" s="47"/>
      <c r="I134" s="47"/>
      <c r="J134" s="24"/>
      <c r="K134" s="47"/>
      <c r="L134" s="47"/>
      <c r="M134" s="47"/>
      <c r="N134" s="47"/>
      <c r="O134" s="47"/>
      <c r="P134" s="24"/>
      <c r="Q134" s="47"/>
      <c r="R134" s="47"/>
      <c r="S134" s="47"/>
      <c r="T134" s="24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24"/>
      <c r="AH134"/>
      <c r="AI134"/>
      <c r="AJ134"/>
      <c r="AK134"/>
      <c r="AL134"/>
      <c r="AM134"/>
      <c r="AN134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s="39" customFormat="1" ht="15" x14ac:dyDescent="0.25">
      <c r="A135"/>
      <c r="B135"/>
      <c r="C135"/>
      <c r="D135" s="46"/>
      <c r="E135" s="47"/>
      <c r="F135" s="24"/>
      <c r="G135" s="47"/>
      <c r="H135" s="47"/>
      <c r="I135" s="47"/>
      <c r="J135" s="24"/>
      <c r="K135" s="47"/>
      <c r="L135" s="47"/>
      <c r="M135" s="47"/>
      <c r="N135" s="47"/>
      <c r="O135" s="47"/>
      <c r="P135" s="24"/>
      <c r="Q135" s="47"/>
      <c r="R135" s="47"/>
      <c r="S135" s="47"/>
      <c r="T135" s="24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24"/>
      <c r="AH135"/>
      <c r="AI135"/>
      <c r="AJ135"/>
      <c r="AK135"/>
      <c r="AL135"/>
      <c r="AM135"/>
      <c r="AN135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</row>
    <row r="136" spans="1:51" s="39" customFormat="1" ht="15" x14ac:dyDescent="0.25">
      <c r="A136"/>
      <c r="B136"/>
      <c r="C136"/>
      <c r="D136" s="46"/>
      <c r="E136" s="47"/>
      <c r="F136" s="24"/>
      <c r="G136" s="47"/>
      <c r="H136" s="47"/>
      <c r="I136" s="47"/>
      <c r="J136" s="24"/>
      <c r="K136" s="47"/>
      <c r="L136" s="47"/>
      <c r="M136" s="47"/>
      <c r="N136" s="47"/>
      <c r="O136" s="47"/>
      <c r="P136" s="24"/>
      <c r="Q136" s="47"/>
      <c r="R136" s="47"/>
      <c r="S136" s="47"/>
      <c r="T136" s="24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24"/>
      <c r="AH136"/>
      <c r="AI136"/>
      <c r="AJ136"/>
      <c r="AK136"/>
      <c r="AL136"/>
      <c r="AM136"/>
      <c r="AN136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</row>
    <row r="137" spans="1:51" s="39" customFormat="1" ht="15" x14ac:dyDescent="0.25">
      <c r="A137"/>
      <c r="B137"/>
      <c r="C137"/>
      <c r="D137" s="46"/>
      <c r="E137" s="47"/>
      <c r="F137" s="24"/>
      <c r="G137" s="47"/>
      <c r="H137" s="47"/>
      <c r="I137" s="47"/>
      <c r="J137" s="24"/>
      <c r="K137" s="47"/>
      <c r="L137" s="47"/>
      <c r="M137" s="47"/>
      <c r="N137" s="47"/>
      <c r="O137" s="47"/>
      <c r="P137" s="24"/>
      <c r="Q137" s="47"/>
      <c r="R137" s="47"/>
      <c r="S137" s="47"/>
      <c r="T137" s="24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24"/>
      <c r="AH137"/>
      <c r="AI137"/>
      <c r="AJ137"/>
      <c r="AK137"/>
      <c r="AL137"/>
      <c r="AM137"/>
      <c r="AN137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</row>
    <row r="138" spans="1:51" s="39" customFormat="1" ht="15" x14ac:dyDescent="0.25">
      <c r="A138"/>
      <c r="B138"/>
      <c r="C138"/>
      <c r="D138" s="46"/>
      <c r="E138" s="47"/>
      <c r="F138" s="24"/>
      <c r="G138" s="47"/>
      <c r="H138" s="47"/>
      <c r="I138" s="47"/>
      <c r="J138" s="24"/>
      <c r="K138" s="47"/>
      <c r="L138" s="47"/>
      <c r="M138" s="47"/>
      <c r="N138" s="47"/>
      <c r="O138" s="47"/>
      <c r="P138" s="24"/>
      <c r="Q138" s="47"/>
      <c r="R138" s="47"/>
      <c r="S138" s="47"/>
      <c r="T138" s="24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24"/>
      <c r="AH138"/>
      <c r="AI138"/>
      <c r="AJ138"/>
      <c r="AK138"/>
      <c r="AL138"/>
      <c r="AM138"/>
      <c r="AN1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</row>
    <row r="139" spans="1:51" s="39" customFormat="1" ht="15" x14ac:dyDescent="0.25">
      <c r="A139"/>
      <c r="B139"/>
      <c r="C139"/>
      <c r="D139" s="46"/>
      <c r="E139" s="47"/>
      <c r="F139" s="24"/>
      <c r="G139" s="47"/>
      <c r="H139" s="47"/>
      <c r="I139" s="47"/>
      <c r="J139" s="24"/>
      <c r="K139" s="47"/>
      <c r="L139" s="47"/>
      <c r="M139" s="47"/>
      <c r="N139" s="47"/>
      <c r="O139" s="47"/>
      <c r="P139" s="24"/>
      <c r="Q139" s="47"/>
      <c r="R139" s="47"/>
      <c r="S139" s="47"/>
      <c r="T139" s="24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24"/>
      <c r="AH139"/>
      <c r="AI139"/>
      <c r="AJ139"/>
      <c r="AK139"/>
      <c r="AL139"/>
      <c r="AM139"/>
      <c r="AN139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</row>
    <row r="140" spans="1:51" s="39" customFormat="1" ht="15" x14ac:dyDescent="0.25">
      <c r="A140"/>
      <c r="B140"/>
      <c r="C140"/>
      <c r="D140" s="46"/>
      <c r="E140" s="47"/>
      <c r="F140" s="24"/>
      <c r="G140" s="47"/>
      <c r="H140" s="47"/>
      <c r="I140" s="47"/>
      <c r="J140" s="24"/>
      <c r="K140" s="47"/>
      <c r="L140" s="47"/>
      <c r="M140" s="47"/>
      <c r="N140" s="47"/>
      <c r="O140" s="47"/>
      <c r="P140" s="24"/>
      <c r="Q140" s="47"/>
      <c r="R140" s="47"/>
      <c r="S140" s="47"/>
      <c r="T140" s="24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24"/>
      <c r="AH140"/>
      <c r="AI140"/>
      <c r="AJ140"/>
      <c r="AK140"/>
      <c r="AL140"/>
      <c r="AM140"/>
      <c r="AN140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</row>
    <row r="141" spans="1:51" s="39" customFormat="1" ht="15" x14ac:dyDescent="0.25">
      <c r="A141"/>
      <c r="B141"/>
      <c r="C141"/>
      <c r="D141" s="46"/>
      <c r="E141" s="47"/>
      <c r="F141" s="24"/>
      <c r="G141" s="47"/>
      <c r="H141" s="47"/>
      <c r="I141" s="47"/>
      <c r="J141" s="24"/>
      <c r="K141" s="47"/>
      <c r="L141" s="47"/>
      <c r="M141" s="47"/>
      <c r="N141" s="47"/>
      <c r="O141" s="47"/>
      <c r="P141" s="24"/>
      <c r="Q141" s="47"/>
      <c r="R141" s="47"/>
      <c r="S141" s="47"/>
      <c r="T141" s="24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24"/>
      <c r="AH141"/>
      <c r="AI141"/>
      <c r="AJ141"/>
      <c r="AK141"/>
      <c r="AL141"/>
      <c r="AM141"/>
      <c r="AN141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</row>
    <row r="142" spans="1:51" s="39" customFormat="1" ht="15" x14ac:dyDescent="0.25">
      <c r="A142"/>
      <c r="B142"/>
      <c r="C142"/>
      <c r="D142" s="46"/>
      <c r="E142" s="47"/>
      <c r="F142" s="24"/>
      <c r="G142" s="47"/>
      <c r="H142" s="47"/>
      <c r="I142" s="47"/>
      <c r="J142" s="24"/>
      <c r="K142" s="47"/>
      <c r="L142" s="47"/>
      <c r="M142" s="47"/>
      <c r="N142" s="47"/>
      <c r="O142" s="47"/>
      <c r="P142" s="24"/>
      <c r="Q142" s="47"/>
      <c r="R142" s="47"/>
      <c r="S142" s="47"/>
      <c r="T142" s="24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24"/>
      <c r="AH142"/>
      <c r="AI142"/>
      <c r="AJ142"/>
      <c r="AK142"/>
      <c r="AL142"/>
      <c r="AM142"/>
      <c r="AN142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s="39" customFormat="1" ht="15" x14ac:dyDescent="0.25">
      <c r="A143"/>
      <c r="B143"/>
      <c r="C143"/>
      <c r="D143" s="46"/>
      <c r="E143" s="47"/>
      <c r="F143" s="24"/>
      <c r="G143" s="47"/>
      <c r="H143" s="47"/>
      <c r="I143" s="47"/>
      <c r="J143" s="24"/>
      <c r="K143" s="47"/>
      <c r="L143" s="47"/>
      <c r="M143" s="47"/>
      <c r="N143" s="47"/>
      <c r="O143" s="47"/>
      <c r="P143" s="24"/>
      <c r="Q143" s="47"/>
      <c r="R143" s="47"/>
      <c r="S143" s="47"/>
      <c r="T143" s="24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24"/>
      <c r="AH143"/>
      <c r="AI143"/>
      <c r="AJ143"/>
      <c r="AK143"/>
      <c r="AL143"/>
      <c r="AM143"/>
      <c r="AN143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</row>
    <row r="144" spans="1:51" s="39" customFormat="1" ht="15" x14ac:dyDescent="0.25">
      <c r="A144"/>
      <c r="B144"/>
      <c r="C144"/>
      <c r="D144" s="46"/>
      <c r="E144" s="47"/>
      <c r="F144" s="24"/>
      <c r="G144" s="47"/>
      <c r="H144" s="47"/>
      <c r="I144" s="47"/>
      <c r="J144" s="24"/>
      <c r="K144" s="47"/>
      <c r="L144" s="47"/>
      <c r="M144" s="47"/>
      <c r="N144" s="47"/>
      <c r="O144" s="47"/>
      <c r="P144" s="24"/>
      <c r="Q144" s="47"/>
      <c r="R144" s="47"/>
      <c r="S144" s="47"/>
      <c r="T144" s="24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24"/>
      <c r="AH144"/>
      <c r="AI144"/>
      <c r="AJ144"/>
      <c r="AK144"/>
      <c r="AL144"/>
      <c r="AM144"/>
      <c r="AN144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</row>
    <row r="145" spans="1:59" s="39" customFormat="1" ht="15" x14ac:dyDescent="0.25">
      <c r="A145"/>
      <c r="B145"/>
      <c r="C145"/>
      <c r="D145" s="46"/>
      <c r="E145" s="47"/>
      <c r="F145" s="24"/>
      <c r="G145" s="47"/>
      <c r="H145" s="47"/>
      <c r="I145" s="47"/>
      <c r="J145" s="24"/>
      <c r="K145" s="47"/>
      <c r="L145" s="47"/>
      <c r="M145" s="47"/>
      <c r="N145" s="47"/>
      <c r="O145" s="47"/>
      <c r="P145" s="24"/>
      <c r="Q145" s="47"/>
      <c r="R145" s="47"/>
      <c r="S145" s="47"/>
      <c r="T145" s="24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24"/>
      <c r="AH145"/>
      <c r="AI145"/>
      <c r="AJ145"/>
      <c r="AK145"/>
      <c r="AL145"/>
      <c r="AM145"/>
      <c r="AN145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</row>
    <row r="146" spans="1:59" s="39" customFormat="1" ht="15" x14ac:dyDescent="0.25">
      <c r="A146"/>
      <c r="B146"/>
      <c r="C146"/>
      <c r="D146" s="46"/>
      <c r="E146" s="47"/>
      <c r="F146" s="24"/>
      <c r="G146" s="47"/>
      <c r="H146" s="47"/>
      <c r="I146" s="47"/>
      <c r="J146" s="24"/>
      <c r="K146" s="47"/>
      <c r="L146" s="47"/>
      <c r="M146" s="47"/>
      <c r="N146" s="47"/>
      <c r="O146" s="47"/>
      <c r="P146" s="24"/>
      <c r="Q146" s="47"/>
      <c r="R146" s="47"/>
      <c r="S146" s="47"/>
      <c r="T146" s="24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24"/>
      <c r="AH146"/>
      <c r="AI146"/>
      <c r="AJ146"/>
      <c r="AK146"/>
      <c r="AL146"/>
      <c r="AM146"/>
      <c r="AN146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</row>
    <row r="147" spans="1:59" s="39" customFormat="1" ht="15" x14ac:dyDescent="0.25">
      <c r="A147"/>
      <c r="B147"/>
      <c r="C147"/>
      <c r="D147" s="46"/>
      <c r="E147" s="47"/>
      <c r="F147" s="24"/>
      <c r="G147" s="47"/>
      <c r="H147" s="47"/>
      <c r="I147" s="47"/>
      <c r="J147" s="24"/>
      <c r="K147" s="47"/>
      <c r="L147" s="47"/>
      <c r="M147" s="47"/>
      <c r="N147" s="47"/>
      <c r="O147" s="47"/>
      <c r="P147" s="24"/>
      <c r="Q147" s="47"/>
      <c r="R147" s="47"/>
      <c r="S147" s="47"/>
      <c r="T147" s="24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24"/>
      <c r="AH147"/>
      <c r="AI147"/>
      <c r="AJ147"/>
      <c r="AK147"/>
      <c r="AL147"/>
      <c r="AM147"/>
      <c r="AN147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</row>
    <row r="148" spans="1:59" s="39" customFormat="1" ht="15" x14ac:dyDescent="0.25">
      <c r="A148"/>
      <c r="B148"/>
      <c r="C148"/>
      <c r="D148" s="46"/>
      <c r="E148" s="47"/>
      <c r="F148" s="24"/>
      <c r="G148" s="47"/>
      <c r="H148" s="47"/>
      <c r="I148" s="47"/>
      <c r="J148" s="24"/>
      <c r="K148" s="47"/>
      <c r="L148" s="47"/>
      <c r="M148" s="47"/>
      <c r="N148" s="47"/>
      <c r="O148" s="47"/>
      <c r="P148" s="24"/>
      <c r="Q148" s="47"/>
      <c r="R148" s="47"/>
      <c r="S148" s="47"/>
      <c r="T148" s="24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24"/>
      <c r="AH148"/>
      <c r="AI148"/>
      <c r="AJ148"/>
      <c r="AK148"/>
      <c r="AL148"/>
      <c r="AM148"/>
      <c r="AN14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</row>
    <row r="149" spans="1:59" s="48" customFormat="1" ht="15" x14ac:dyDescent="0.25">
      <c r="A149"/>
      <c r="B149"/>
      <c r="C149"/>
      <c r="D149" s="46"/>
      <c r="E149" s="47"/>
      <c r="F149" s="24"/>
      <c r="G149" s="47"/>
      <c r="H149" s="47"/>
      <c r="I149" s="47"/>
      <c r="J149" s="24"/>
      <c r="K149" s="47"/>
      <c r="L149" s="47"/>
      <c r="M149" s="47"/>
      <c r="N149" s="47"/>
      <c r="O149" s="47"/>
      <c r="P149" s="24"/>
      <c r="Q149" s="47"/>
      <c r="R149" s="47"/>
      <c r="S149" s="47"/>
      <c r="T149" s="24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24"/>
      <c r="AH149"/>
      <c r="AI149"/>
      <c r="AJ149"/>
      <c r="AK149"/>
      <c r="AL149"/>
      <c r="AM149"/>
      <c r="AN149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9"/>
      <c r="BA149" s="39"/>
      <c r="BB149" s="39"/>
      <c r="BC149" s="39"/>
      <c r="BD149" s="39"/>
      <c r="BE149" s="39"/>
      <c r="BF149" s="39"/>
      <c r="BG149" s="39"/>
    </row>
    <row r="150" spans="1:59" s="48" customFormat="1" ht="15" x14ac:dyDescent="0.25">
      <c r="A150"/>
      <c r="B150"/>
      <c r="C150"/>
      <c r="D150" s="46"/>
      <c r="E150" s="47"/>
      <c r="F150" s="24"/>
      <c r="G150" s="47"/>
      <c r="H150" s="47"/>
      <c r="I150" s="47"/>
      <c r="J150" s="24"/>
      <c r="K150" s="47"/>
      <c r="L150" s="47"/>
      <c r="M150" s="47"/>
      <c r="N150" s="47"/>
      <c r="O150" s="47"/>
      <c r="P150" s="24"/>
      <c r="Q150" s="47"/>
      <c r="R150" s="47"/>
      <c r="S150" s="47"/>
      <c r="T150" s="24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24"/>
      <c r="AH150"/>
      <c r="AI150"/>
      <c r="AJ150"/>
      <c r="AK150"/>
      <c r="AL150"/>
      <c r="AM150"/>
      <c r="AN150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9"/>
      <c r="BA150" s="39"/>
      <c r="BB150" s="39"/>
      <c r="BC150" s="39"/>
      <c r="BD150" s="39"/>
      <c r="BE150" s="39"/>
      <c r="BF150" s="39"/>
      <c r="BG150" s="39"/>
    </row>
    <row r="151" spans="1:59" s="48" customFormat="1" ht="15" x14ac:dyDescent="0.25">
      <c r="A151"/>
      <c r="B151"/>
      <c r="C151"/>
      <c r="D151" s="46"/>
      <c r="E151" s="47"/>
      <c r="F151" s="3"/>
      <c r="G151" s="47"/>
      <c r="H151" s="47"/>
      <c r="I151" s="47"/>
      <c r="J151" s="3"/>
      <c r="K151" s="47"/>
      <c r="L151" s="47"/>
      <c r="M151" s="47"/>
      <c r="N151" s="47"/>
      <c r="O151" s="47"/>
      <c r="P151" s="3"/>
      <c r="Q151" s="47"/>
      <c r="R151" s="47"/>
      <c r="S151" s="47"/>
      <c r="T151" s="24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3"/>
      <c r="AH151"/>
      <c r="AI151"/>
      <c r="AJ151"/>
      <c r="AK151"/>
      <c r="AL151"/>
      <c r="AM151"/>
      <c r="AN151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9"/>
      <c r="BA151" s="39"/>
      <c r="BB151" s="39"/>
      <c r="BC151" s="39"/>
      <c r="BD151" s="39"/>
      <c r="BE151" s="39"/>
      <c r="BF151" s="39"/>
      <c r="BG151" s="39"/>
    </row>
    <row r="152" spans="1:59" s="48" customFormat="1" ht="15" x14ac:dyDescent="0.25">
      <c r="A152"/>
      <c r="B152"/>
      <c r="C152"/>
      <c r="D152" s="46"/>
      <c r="E152" s="47"/>
      <c r="F152" s="3"/>
      <c r="G152" s="47"/>
      <c r="H152" s="47"/>
      <c r="I152" s="47"/>
      <c r="J152" s="3"/>
      <c r="K152" s="47"/>
      <c r="L152" s="47"/>
      <c r="M152" s="47"/>
      <c r="N152" s="47"/>
      <c r="O152" s="47"/>
      <c r="P152" s="3"/>
      <c r="Q152" s="47"/>
      <c r="R152" s="47"/>
      <c r="S152" s="47"/>
      <c r="T152" s="24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3"/>
      <c r="AH152"/>
      <c r="AI152"/>
      <c r="AJ152"/>
      <c r="AK152"/>
      <c r="AL152"/>
      <c r="AM152"/>
      <c r="AN152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9"/>
      <c r="BA152" s="39"/>
      <c r="BB152" s="39"/>
      <c r="BC152" s="39"/>
      <c r="BD152" s="39"/>
      <c r="BE152" s="39"/>
      <c r="BF152" s="39"/>
      <c r="BG152" s="39"/>
    </row>
    <row r="153" spans="1:59" s="48" customFormat="1" ht="15" x14ac:dyDescent="0.25">
      <c r="A153"/>
      <c r="B153"/>
      <c r="C153"/>
      <c r="D153" s="46"/>
      <c r="E153"/>
      <c r="F153" s="3"/>
      <c r="G153"/>
      <c r="H153"/>
      <c r="I153"/>
      <c r="J153" s="3"/>
      <c r="K153"/>
      <c r="L153"/>
      <c r="M153"/>
      <c r="N153"/>
      <c r="O153"/>
      <c r="P153" s="3"/>
      <c r="Q153" s="47"/>
      <c r="R153" s="47"/>
      <c r="S153" s="47"/>
      <c r="T153" s="24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3"/>
      <c r="AH153"/>
      <c r="AI153"/>
      <c r="AJ153"/>
      <c r="AK153"/>
      <c r="AL153"/>
      <c r="AM153"/>
      <c r="AN153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9"/>
      <c r="BA153" s="39"/>
      <c r="BB153" s="39"/>
      <c r="BC153" s="39"/>
      <c r="BD153" s="39"/>
      <c r="BE153" s="39"/>
      <c r="BF153" s="39"/>
      <c r="BG153" s="39"/>
    </row>
    <row r="154" spans="1:59" s="48" customFormat="1" ht="15" x14ac:dyDescent="0.25">
      <c r="A154"/>
      <c r="B154"/>
      <c r="C154"/>
      <c r="D154" s="46"/>
      <c r="E154"/>
      <c r="F154" s="3"/>
      <c r="G154"/>
      <c r="H154"/>
      <c r="I154"/>
      <c r="J154" s="3"/>
      <c r="K154"/>
      <c r="L154"/>
      <c r="M154"/>
      <c r="N154"/>
      <c r="O154"/>
      <c r="P154" s="3"/>
      <c r="Q154" s="47"/>
      <c r="R154" s="47"/>
      <c r="S154" s="47"/>
      <c r="T154" s="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3"/>
      <c r="AH154"/>
      <c r="AI154"/>
      <c r="AJ154"/>
      <c r="AK154"/>
      <c r="AL154"/>
      <c r="AM154"/>
      <c r="AN154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9"/>
      <c r="BA154" s="39"/>
      <c r="BB154" s="39"/>
      <c r="BC154" s="39"/>
      <c r="BD154" s="39"/>
      <c r="BE154" s="39"/>
      <c r="BF154" s="39"/>
      <c r="BG154" s="39"/>
    </row>
    <row r="155" spans="1:59" s="48" customFormat="1" ht="15" x14ac:dyDescent="0.25">
      <c r="A155"/>
      <c r="B155"/>
      <c r="C155"/>
      <c r="D155" s="46"/>
      <c r="E155"/>
      <c r="F155" s="3"/>
      <c r="G155"/>
      <c r="H155"/>
      <c r="I155"/>
      <c r="J155" s="3"/>
      <c r="K155"/>
      <c r="L155"/>
      <c r="M155"/>
      <c r="N155"/>
      <c r="O155"/>
      <c r="P155" s="3"/>
      <c r="Q155" s="47"/>
      <c r="R155" s="47"/>
      <c r="S155" s="47"/>
      <c r="T155" s="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3"/>
      <c r="AH155"/>
      <c r="AI155"/>
      <c r="AJ155"/>
      <c r="AK155"/>
      <c r="AL155"/>
      <c r="AM155"/>
      <c r="AN155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9"/>
      <c r="BA155" s="39"/>
      <c r="BB155" s="39"/>
      <c r="BC155" s="39"/>
      <c r="BD155" s="39"/>
      <c r="BE155" s="39"/>
      <c r="BF155" s="39"/>
      <c r="BG155" s="39"/>
    </row>
    <row r="156" spans="1:59" s="48" customFormat="1" ht="15" x14ac:dyDescent="0.25">
      <c r="A156"/>
      <c r="B156"/>
      <c r="C156"/>
      <c r="D156" s="46"/>
      <c r="E156"/>
      <c r="F156" s="3"/>
      <c r="G156"/>
      <c r="H156"/>
      <c r="I156"/>
      <c r="J156" s="3"/>
      <c r="K156"/>
      <c r="L156"/>
      <c r="M156"/>
      <c r="N156"/>
      <c r="O156"/>
      <c r="P156" s="3"/>
      <c r="Q156" s="47"/>
      <c r="R156" s="47"/>
      <c r="S156" s="47"/>
      <c r="T156" s="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3"/>
      <c r="AH156"/>
      <c r="AI156"/>
      <c r="AJ156"/>
      <c r="AK156"/>
      <c r="AL156"/>
      <c r="AM156"/>
      <c r="AN156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9"/>
      <c r="BA156" s="39"/>
      <c r="BB156" s="39"/>
      <c r="BC156" s="39"/>
      <c r="BD156" s="39"/>
      <c r="BE156" s="39"/>
      <c r="BF156" s="39"/>
      <c r="BG156" s="39"/>
    </row>
    <row r="157" spans="1:59" s="48" customFormat="1" ht="15" x14ac:dyDescent="0.25">
      <c r="A157"/>
      <c r="B157"/>
      <c r="C157"/>
      <c r="D157" s="46"/>
      <c r="E157"/>
      <c r="F157" s="3"/>
      <c r="G157"/>
      <c r="H157"/>
      <c r="I157"/>
      <c r="J157" s="3"/>
      <c r="K157"/>
      <c r="L157"/>
      <c r="M157"/>
      <c r="N157"/>
      <c r="O157"/>
      <c r="P157" s="3"/>
      <c r="Q157" s="47"/>
      <c r="R157" s="47"/>
      <c r="S157" s="47"/>
      <c r="T157" s="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3"/>
      <c r="AH157"/>
      <c r="AI157"/>
      <c r="AJ157"/>
      <c r="AK157"/>
      <c r="AL157"/>
      <c r="AM157"/>
      <c r="AN157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9"/>
      <c r="BA157" s="39"/>
      <c r="BB157" s="39"/>
      <c r="BC157" s="39"/>
      <c r="BD157" s="39"/>
      <c r="BE157" s="39"/>
      <c r="BF157" s="39"/>
      <c r="BG157" s="39"/>
    </row>
    <row r="158" spans="1:59" s="39" customFormat="1" ht="15" x14ac:dyDescent="0.25">
      <c r="A158"/>
      <c r="B158"/>
      <c r="C158"/>
      <c r="D158" s="46"/>
      <c r="E158"/>
      <c r="F158" s="3"/>
      <c r="G158"/>
      <c r="H158"/>
      <c r="I158"/>
      <c r="J158" s="3"/>
      <c r="K158"/>
      <c r="L158"/>
      <c r="M158"/>
      <c r="N158"/>
      <c r="O158"/>
      <c r="P158" s="3"/>
      <c r="Q158" s="47"/>
      <c r="R158" s="47"/>
      <c r="S158" s="47"/>
      <c r="T158" s="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3"/>
      <c r="AH158"/>
      <c r="AI158"/>
      <c r="AJ158"/>
      <c r="AK158"/>
      <c r="AL158"/>
      <c r="AM158"/>
      <c r="AN15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9" s="39" customFormat="1" ht="15" x14ac:dyDescent="0.25">
      <c r="A159"/>
      <c r="B159"/>
      <c r="C159"/>
      <c r="D159" s="46"/>
      <c r="E159"/>
      <c r="F159" s="3"/>
      <c r="G159"/>
      <c r="H159"/>
      <c r="I159"/>
      <c r="J159" s="3"/>
      <c r="K159"/>
      <c r="L159"/>
      <c r="M159"/>
      <c r="N159"/>
      <c r="O159"/>
      <c r="P159" s="3"/>
      <c r="Q159" s="47"/>
      <c r="R159" s="47"/>
      <c r="S159" s="47"/>
      <c r="T159" s="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3"/>
      <c r="AH159"/>
      <c r="AI159"/>
      <c r="AJ159"/>
      <c r="AK159"/>
      <c r="AL159"/>
      <c r="AM159"/>
      <c r="AN159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</row>
    <row r="160" spans="1:59" s="48" customFormat="1" ht="15" x14ac:dyDescent="0.25">
      <c r="A160"/>
      <c r="B160"/>
      <c r="C160"/>
      <c r="D160" s="46"/>
      <c r="E160"/>
      <c r="F160" s="3"/>
      <c r="G160"/>
      <c r="H160"/>
      <c r="I160"/>
      <c r="J160" s="3"/>
      <c r="K160"/>
      <c r="L160"/>
      <c r="M160"/>
      <c r="N160"/>
      <c r="O160"/>
      <c r="P160" s="3"/>
      <c r="Q160" s="47"/>
      <c r="R160" s="47"/>
      <c r="S160" s="47"/>
      <c r="T160" s="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3"/>
      <c r="AH160"/>
      <c r="AI160"/>
      <c r="AJ160"/>
      <c r="AK160"/>
      <c r="AL160"/>
      <c r="AM160"/>
      <c r="AN160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9"/>
      <c r="BA160" s="39"/>
      <c r="BB160" s="39"/>
      <c r="BC160" s="39"/>
      <c r="BD160" s="39"/>
      <c r="BE160" s="39"/>
      <c r="BF160" s="39"/>
      <c r="BG160" s="39"/>
    </row>
    <row r="161" spans="1:59" s="48" customFormat="1" ht="15" x14ac:dyDescent="0.25">
      <c r="A161"/>
      <c r="B161"/>
      <c r="C161"/>
      <c r="D161" s="46"/>
      <c r="E161"/>
      <c r="F161" s="3"/>
      <c r="G161"/>
      <c r="H161"/>
      <c r="I161"/>
      <c r="J161" s="3"/>
      <c r="K161"/>
      <c r="L161"/>
      <c r="M161"/>
      <c r="N161"/>
      <c r="O161"/>
      <c r="P161" s="3"/>
      <c r="Q161" s="47"/>
      <c r="R161" s="47"/>
      <c r="S161" s="47"/>
      <c r="T161" s="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3"/>
      <c r="AH161"/>
      <c r="AI161"/>
      <c r="AJ161"/>
      <c r="AK161"/>
      <c r="AL161"/>
      <c r="AM161"/>
      <c r="AN161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9"/>
      <c r="BA161" s="39"/>
      <c r="BB161" s="39"/>
      <c r="BC161" s="39"/>
      <c r="BD161" s="39"/>
      <c r="BE161" s="39"/>
      <c r="BF161" s="39"/>
      <c r="BG161" s="39"/>
    </row>
    <row r="162" spans="1:59" s="48" customFormat="1" ht="15" x14ac:dyDescent="0.25">
      <c r="A162"/>
      <c r="B162"/>
      <c r="C162"/>
      <c r="D162" s="46"/>
      <c r="E162"/>
      <c r="F162" s="3"/>
      <c r="G162"/>
      <c r="H162"/>
      <c r="I162"/>
      <c r="J162" s="3"/>
      <c r="K162"/>
      <c r="L162"/>
      <c r="M162"/>
      <c r="N162"/>
      <c r="O162"/>
      <c r="P162" s="3"/>
      <c r="Q162" s="47"/>
      <c r="R162" s="47"/>
      <c r="S162" s="47"/>
      <c r="T162" s="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3"/>
      <c r="AH162"/>
      <c r="AI162"/>
      <c r="AJ162"/>
      <c r="AK162"/>
      <c r="AL162"/>
      <c r="AM162"/>
      <c r="AN162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9"/>
      <c r="BA162" s="39"/>
      <c r="BB162" s="39"/>
      <c r="BC162" s="39"/>
      <c r="BD162" s="39"/>
      <c r="BE162" s="39"/>
      <c r="BF162" s="39"/>
      <c r="BG162" s="39"/>
    </row>
    <row r="163" spans="1:59" s="48" customFormat="1" ht="15" x14ac:dyDescent="0.25">
      <c r="A163"/>
      <c r="B163"/>
      <c r="C163"/>
      <c r="D163" s="46"/>
      <c r="E163"/>
      <c r="F163" s="3"/>
      <c r="G163"/>
      <c r="H163"/>
      <c r="I163"/>
      <c r="J163" s="3"/>
      <c r="K163"/>
      <c r="L163"/>
      <c r="M163"/>
      <c r="N163"/>
      <c r="O163"/>
      <c r="P163" s="3"/>
      <c r="Q163" s="47"/>
      <c r="R163" s="47"/>
      <c r="S163" s="47"/>
      <c r="T163" s="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3"/>
      <c r="AH163"/>
      <c r="AI163"/>
      <c r="AJ163"/>
      <c r="AK163"/>
      <c r="AL163"/>
      <c r="AM163"/>
      <c r="AN163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9"/>
      <c r="BA163" s="39"/>
      <c r="BB163" s="39"/>
      <c r="BC163" s="39"/>
      <c r="BD163" s="39"/>
      <c r="BE163" s="39"/>
      <c r="BF163" s="39"/>
      <c r="BG163" s="39"/>
    </row>
    <row r="164" spans="1:59" s="48" customFormat="1" ht="15" x14ac:dyDescent="0.25">
      <c r="A164"/>
      <c r="B164"/>
      <c r="C164"/>
      <c r="D164" s="46"/>
      <c r="E164"/>
      <c r="F164" s="3"/>
      <c r="G164"/>
      <c r="H164"/>
      <c r="I164"/>
      <c r="J164" s="3"/>
      <c r="K164"/>
      <c r="L164"/>
      <c r="M164"/>
      <c r="N164"/>
      <c r="O164"/>
      <c r="P164" s="3"/>
      <c r="Q164" s="47"/>
      <c r="R164" s="47"/>
      <c r="S164" s="47"/>
      <c r="T164" s="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3"/>
      <c r="AH164"/>
      <c r="AI164"/>
      <c r="AJ164"/>
      <c r="AK164"/>
      <c r="AL164"/>
      <c r="AM164"/>
      <c r="AN164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9"/>
      <c r="BA164" s="39"/>
      <c r="BB164" s="39"/>
      <c r="BC164" s="39"/>
      <c r="BD164" s="39"/>
      <c r="BE164" s="39"/>
      <c r="BF164" s="39"/>
      <c r="BG164" s="39"/>
    </row>
    <row r="165" spans="1:59" s="48" customFormat="1" ht="15" x14ac:dyDescent="0.25">
      <c r="A165"/>
      <c r="B165"/>
      <c r="C165"/>
      <c r="D165" s="46"/>
      <c r="E165"/>
      <c r="F165" s="3"/>
      <c r="G165"/>
      <c r="H165"/>
      <c r="I165"/>
      <c r="J165" s="3"/>
      <c r="K165"/>
      <c r="L165"/>
      <c r="M165"/>
      <c r="N165"/>
      <c r="O165"/>
      <c r="P165" s="3"/>
      <c r="Q165" s="47"/>
      <c r="R165" s="47"/>
      <c r="S165" s="47"/>
      <c r="T165" s="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3"/>
      <c r="AH165"/>
      <c r="AI165"/>
      <c r="AJ165"/>
      <c r="AK165"/>
      <c r="AL165"/>
      <c r="AM165"/>
      <c r="AN165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9"/>
      <c r="BA165" s="39"/>
      <c r="BB165" s="39"/>
      <c r="BC165" s="39"/>
      <c r="BD165" s="39"/>
      <c r="BE165" s="39"/>
      <c r="BF165" s="39"/>
      <c r="BG165" s="39"/>
    </row>
    <row r="166" spans="1:59" s="48" customFormat="1" ht="15" x14ac:dyDescent="0.25">
      <c r="A166"/>
      <c r="B166"/>
      <c r="C166"/>
      <c r="D166" s="46"/>
      <c r="E166"/>
      <c r="F166" s="3"/>
      <c r="G166"/>
      <c r="H166"/>
      <c r="I166"/>
      <c r="J166" s="3"/>
      <c r="K166"/>
      <c r="L166"/>
      <c r="M166"/>
      <c r="N166"/>
      <c r="O166"/>
      <c r="P166" s="3"/>
      <c r="Q166" s="47"/>
      <c r="R166" s="47"/>
      <c r="S166" s="47"/>
      <c r="T166" s="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3"/>
      <c r="AH166"/>
      <c r="AI166"/>
      <c r="AJ166"/>
      <c r="AK166"/>
      <c r="AL166"/>
      <c r="AM166"/>
      <c r="AN166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9"/>
      <c r="BA166" s="39"/>
      <c r="BB166" s="39"/>
      <c r="BC166" s="39"/>
      <c r="BD166" s="39"/>
      <c r="BE166" s="39"/>
      <c r="BF166" s="39"/>
      <c r="BG166" s="39"/>
    </row>
    <row r="167" spans="1:59" s="48" customFormat="1" ht="15" x14ac:dyDescent="0.25">
      <c r="A167"/>
      <c r="B167"/>
      <c r="C167"/>
      <c r="D167" s="46"/>
      <c r="E167"/>
      <c r="F167" s="3"/>
      <c r="G167"/>
      <c r="H167"/>
      <c r="I167"/>
      <c r="J167" s="3"/>
      <c r="K167"/>
      <c r="L167"/>
      <c r="M167"/>
      <c r="N167"/>
      <c r="O167"/>
      <c r="P167" s="3"/>
      <c r="Q167" s="47"/>
      <c r="R167" s="47"/>
      <c r="S167" s="47"/>
      <c r="T167" s="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3"/>
      <c r="AH167"/>
      <c r="AI167"/>
      <c r="AJ167"/>
      <c r="AK167"/>
      <c r="AL167"/>
      <c r="AM167"/>
      <c r="AN167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9"/>
      <c r="BA167" s="39"/>
      <c r="BB167" s="39"/>
      <c r="BC167" s="39"/>
      <c r="BD167" s="39"/>
      <c r="BE167" s="39"/>
      <c r="BF167" s="39"/>
      <c r="BG167" s="39"/>
    </row>
    <row r="168" spans="1:59" s="48" customFormat="1" ht="15" x14ac:dyDescent="0.25">
      <c r="A168"/>
      <c r="B168"/>
      <c r="C168"/>
      <c r="D168" s="46"/>
      <c r="E168"/>
      <c r="F168" s="3"/>
      <c r="G168"/>
      <c r="H168"/>
      <c r="I168"/>
      <c r="J168" s="3"/>
      <c r="K168"/>
      <c r="L168"/>
      <c r="M168"/>
      <c r="N168"/>
      <c r="O168"/>
      <c r="P168" s="3"/>
      <c r="Q168" s="47"/>
      <c r="R168" s="47"/>
      <c r="S168" s="47"/>
      <c r="T168" s="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3"/>
      <c r="AH168"/>
      <c r="AI168"/>
      <c r="AJ168"/>
      <c r="AK168"/>
      <c r="AL168"/>
      <c r="AM168"/>
      <c r="AN16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9"/>
      <c r="BA168" s="39"/>
      <c r="BB168" s="39"/>
      <c r="BC168" s="39"/>
      <c r="BD168" s="39"/>
      <c r="BE168" s="39"/>
      <c r="BF168" s="39"/>
      <c r="BG168" s="39"/>
    </row>
    <row r="169" spans="1:59" s="48" customFormat="1" ht="15" x14ac:dyDescent="0.25">
      <c r="A169"/>
      <c r="B169"/>
      <c r="C169"/>
      <c r="D169" s="46"/>
      <c r="E169"/>
      <c r="F169" s="3"/>
      <c r="G169"/>
      <c r="H169"/>
      <c r="I169"/>
      <c r="J169" s="3"/>
      <c r="K169"/>
      <c r="L169"/>
      <c r="M169"/>
      <c r="N169"/>
      <c r="O169"/>
      <c r="P169" s="3"/>
      <c r="Q169" s="47"/>
      <c r="R169" s="47"/>
      <c r="S169" s="47"/>
      <c r="T169" s="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3"/>
      <c r="AH169"/>
      <c r="AI169"/>
      <c r="AJ169"/>
      <c r="AK169"/>
      <c r="AL169"/>
      <c r="AM169"/>
      <c r="AN169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9"/>
      <c r="BA169" s="39"/>
      <c r="BB169" s="39"/>
      <c r="BC169" s="39"/>
      <c r="BD169" s="39"/>
      <c r="BE169" s="39"/>
      <c r="BF169" s="39"/>
      <c r="BG169" s="39"/>
    </row>
    <row r="170" spans="1:59" s="48" customFormat="1" ht="15" x14ac:dyDescent="0.25">
      <c r="A170"/>
      <c r="B170"/>
      <c r="C170"/>
      <c r="D170" s="46"/>
      <c r="E170"/>
      <c r="F170" s="3"/>
      <c r="G170"/>
      <c r="H170"/>
      <c r="I170"/>
      <c r="J170" s="3"/>
      <c r="K170"/>
      <c r="L170"/>
      <c r="M170"/>
      <c r="N170"/>
      <c r="O170"/>
      <c r="P170" s="3"/>
      <c r="Q170" s="47"/>
      <c r="R170" s="47"/>
      <c r="S170" s="47"/>
      <c r="T170" s="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3"/>
      <c r="AH170"/>
      <c r="AI170"/>
      <c r="AJ170"/>
      <c r="AK170"/>
      <c r="AL170"/>
      <c r="AM170"/>
      <c r="AN170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9"/>
      <c r="BA170" s="39"/>
      <c r="BB170" s="39"/>
      <c r="BC170" s="39"/>
      <c r="BD170" s="39"/>
      <c r="BE170" s="39"/>
      <c r="BF170" s="39"/>
      <c r="BG170" s="39"/>
    </row>
    <row r="171" spans="1:59" s="48" customFormat="1" ht="15" x14ac:dyDescent="0.25">
      <c r="A171"/>
      <c r="B171"/>
      <c r="C171"/>
      <c r="D171" s="46"/>
      <c r="E171"/>
      <c r="F171" s="3"/>
      <c r="G171"/>
      <c r="H171"/>
      <c r="I171"/>
      <c r="J171" s="3"/>
      <c r="K171"/>
      <c r="L171"/>
      <c r="M171"/>
      <c r="N171"/>
      <c r="O171"/>
      <c r="P171" s="3"/>
      <c r="Q171" s="47"/>
      <c r="R171" s="47"/>
      <c r="S171" s="47"/>
      <c r="T171" s="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3"/>
      <c r="AH171"/>
      <c r="AI171"/>
      <c r="AJ171"/>
      <c r="AK171"/>
      <c r="AL171"/>
      <c r="AM171"/>
      <c r="AN171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9"/>
      <c r="BA171" s="39"/>
      <c r="BB171" s="39"/>
      <c r="BC171" s="39"/>
      <c r="BD171" s="39"/>
      <c r="BE171" s="39"/>
      <c r="BF171" s="39"/>
      <c r="BG171" s="39"/>
    </row>
    <row r="172" spans="1:59" s="48" customFormat="1" ht="15" x14ac:dyDescent="0.25">
      <c r="A172"/>
      <c r="B172"/>
      <c r="C172"/>
      <c r="D172" s="46"/>
      <c r="E172"/>
      <c r="F172" s="3"/>
      <c r="G172"/>
      <c r="H172"/>
      <c r="I172"/>
      <c r="J172" s="3"/>
      <c r="K172"/>
      <c r="L172"/>
      <c r="M172"/>
      <c r="N172"/>
      <c r="O172"/>
      <c r="P172" s="3"/>
      <c r="Q172" s="47"/>
      <c r="R172" s="47"/>
      <c r="S172" s="47"/>
      <c r="T172" s="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3"/>
      <c r="AH172"/>
      <c r="AI172"/>
      <c r="AJ172"/>
      <c r="AK172"/>
      <c r="AL172"/>
      <c r="AM172"/>
      <c r="AN172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9"/>
      <c r="BA172" s="39"/>
      <c r="BB172" s="39"/>
      <c r="BC172" s="39"/>
      <c r="BD172" s="39"/>
      <c r="BE172" s="39"/>
      <c r="BF172" s="39"/>
      <c r="BG172" s="39"/>
    </row>
    <row r="173" spans="1:59" s="48" customFormat="1" ht="15" x14ac:dyDescent="0.25">
      <c r="A173"/>
      <c r="B173"/>
      <c r="C173"/>
      <c r="D173" s="46"/>
      <c r="E173"/>
      <c r="F173" s="3"/>
      <c r="G173"/>
      <c r="H173"/>
      <c r="I173"/>
      <c r="J173" s="3"/>
      <c r="K173"/>
      <c r="L173"/>
      <c r="M173"/>
      <c r="N173"/>
      <c r="O173"/>
      <c r="P173" s="3"/>
      <c r="Q173" s="47"/>
      <c r="R173" s="47"/>
      <c r="S173" s="47"/>
      <c r="T173" s="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3"/>
      <c r="AH173"/>
      <c r="AI173"/>
      <c r="AJ173"/>
      <c r="AK173"/>
      <c r="AL173"/>
      <c r="AM173"/>
      <c r="AN173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9"/>
      <c r="BA173" s="39"/>
      <c r="BB173" s="39"/>
      <c r="BC173" s="39"/>
      <c r="BD173" s="39"/>
      <c r="BE173" s="39"/>
      <c r="BF173" s="39"/>
      <c r="BG173" s="39"/>
    </row>
    <row r="174" spans="1:59" s="48" customFormat="1" ht="15" x14ac:dyDescent="0.25">
      <c r="A174"/>
      <c r="B174"/>
      <c r="C174"/>
      <c r="D174" s="46"/>
      <c r="E174"/>
      <c r="F174" s="3"/>
      <c r="G174"/>
      <c r="H174"/>
      <c r="I174"/>
      <c r="J174" s="3"/>
      <c r="K174"/>
      <c r="L174"/>
      <c r="M174"/>
      <c r="N174"/>
      <c r="O174"/>
      <c r="P174" s="3"/>
      <c r="Q174" s="47"/>
      <c r="R174" s="47"/>
      <c r="S174" s="47"/>
      <c r="T174" s="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3"/>
      <c r="AH174"/>
      <c r="AI174"/>
      <c r="AJ174"/>
      <c r="AK174"/>
      <c r="AL174"/>
      <c r="AM174"/>
      <c r="AN174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9"/>
      <c r="BA174" s="39"/>
      <c r="BB174" s="39"/>
      <c r="BC174" s="39"/>
      <c r="BD174" s="39"/>
      <c r="BE174" s="39"/>
      <c r="BF174" s="39"/>
      <c r="BG174" s="39"/>
    </row>
    <row r="175" spans="1:59" s="48" customFormat="1" ht="15" x14ac:dyDescent="0.25">
      <c r="A175"/>
      <c r="B175"/>
      <c r="C175"/>
      <c r="D175" s="46"/>
      <c r="E175"/>
      <c r="F175" s="3"/>
      <c r="G175"/>
      <c r="H175"/>
      <c r="I175"/>
      <c r="J175" s="3"/>
      <c r="K175"/>
      <c r="L175"/>
      <c r="M175"/>
      <c r="N175"/>
      <c r="O175"/>
      <c r="P175" s="3"/>
      <c r="Q175" s="47"/>
      <c r="R175" s="47"/>
      <c r="S175" s="47"/>
      <c r="T175" s="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3"/>
      <c r="AH175"/>
      <c r="AI175"/>
      <c r="AJ175"/>
      <c r="AK175"/>
      <c r="AL175"/>
      <c r="AM175"/>
      <c r="AN175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9"/>
      <c r="BA175" s="39"/>
      <c r="BB175" s="39"/>
      <c r="BC175" s="39"/>
      <c r="BD175" s="39"/>
      <c r="BE175" s="39"/>
      <c r="BF175" s="39"/>
      <c r="BG175" s="39"/>
    </row>
    <row r="176" spans="1:59" s="48" customFormat="1" ht="15" x14ac:dyDescent="0.25">
      <c r="A176"/>
      <c r="B176"/>
      <c r="C176"/>
      <c r="D176" s="46"/>
      <c r="E176"/>
      <c r="F176" s="3"/>
      <c r="G176"/>
      <c r="H176"/>
      <c r="I176"/>
      <c r="J176" s="3"/>
      <c r="K176"/>
      <c r="L176"/>
      <c r="M176"/>
      <c r="N176"/>
      <c r="O176"/>
      <c r="P176" s="3"/>
      <c r="Q176" s="47"/>
      <c r="R176" s="47"/>
      <c r="S176" s="47"/>
      <c r="T176" s="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3"/>
      <c r="AH176"/>
      <c r="AI176"/>
      <c r="AJ176"/>
      <c r="AK176"/>
      <c r="AL176"/>
      <c r="AM176"/>
      <c r="AN176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9"/>
      <c r="BA176" s="39"/>
      <c r="BB176" s="39"/>
      <c r="BC176" s="39"/>
      <c r="BD176" s="39"/>
      <c r="BE176" s="39"/>
      <c r="BF176" s="39"/>
      <c r="BG176" s="39"/>
    </row>
    <row r="177" spans="1:59" s="48" customFormat="1" ht="15" x14ac:dyDescent="0.25">
      <c r="A177"/>
      <c r="B177"/>
      <c r="C177"/>
      <c r="D177" s="46"/>
      <c r="E177"/>
      <c r="F177" s="3"/>
      <c r="G177"/>
      <c r="H177"/>
      <c r="I177"/>
      <c r="J177" s="3"/>
      <c r="K177"/>
      <c r="L177"/>
      <c r="M177"/>
      <c r="N177"/>
      <c r="O177"/>
      <c r="P177" s="3"/>
      <c r="Q177" s="47"/>
      <c r="R177" s="47"/>
      <c r="S177" s="47"/>
      <c r="T177" s="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3"/>
      <c r="AH177"/>
      <c r="AI177"/>
      <c r="AJ177"/>
      <c r="AK177"/>
      <c r="AL177"/>
      <c r="AM177"/>
      <c r="AN177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9"/>
      <c r="BA177" s="39"/>
      <c r="BB177" s="39"/>
      <c r="BC177" s="39"/>
      <c r="BD177" s="39"/>
      <c r="BE177" s="39"/>
      <c r="BF177" s="39"/>
      <c r="BG177" s="39"/>
    </row>
    <row r="178" spans="1:59" s="48" customFormat="1" ht="15" x14ac:dyDescent="0.25">
      <c r="A178"/>
      <c r="B178"/>
      <c r="C178"/>
      <c r="D178" s="46"/>
      <c r="E178"/>
      <c r="F178" s="3"/>
      <c r="G178"/>
      <c r="H178"/>
      <c r="I178"/>
      <c r="J178" s="3"/>
      <c r="K178"/>
      <c r="L178"/>
      <c r="M178"/>
      <c r="N178"/>
      <c r="O178"/>
      <c r="P178" s="3"/>
      <c r="Q178" s="47"/>
      <c r="R178" s="47"/>
      <c r="S178" s="47"/>
      <c r="T178" s="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3"/>
      <c r="AH178"/>
      <c r="AI178"/>
      <c r="AJ178"/>
      <c r="AK178"/>
      <c r="AL178"/>
      <c r="AM178"/>
      <c r="AN17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9"/>
      <c r="BA178" s="39"/>
      <c r="BB178" s="39"/>
      <c r="BC178" s="39"/>
      <c r="BD178" s="39"/>
      <c r="BE178" s="39"/>
      <c r="BF178" s="39"/>
      <c r="BG178" s="39"/>
    </row>
    <row r="179" spans="1:59" s="48" customFormat="1" ht="15" x14ac:dyDescent="0.25">
      <c r="A179"/>
      <c r="B179"/>
      <c r="C179"/>
      <c r="D179" s="46"/>
      <c r="E179"/>
      <c r="F179" s="3"/>
      <c r="G179"/>
      <c r="H179"/>
      <c r="I179"/>
      <c r="J179" s="3"/>
      <c r="K179"/>
      <c r="L179"/>
      <c r="M179"/>
      <c r="N179"/>
      <c r="O179"/>
      <c r="P179" s="3"/>
      <c r="Q179" s="47"/>
      <c r="R179" s="47"/>
      <c r="S179" s="47"/>
      <c r="T179" s="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3"/>
      <c r="AH179"/>
      <c r="AI179"/>
      <c r="AJ179"/>
      <c r="AK179"/>
      <c r="AL179"/>
      <c r="AM179"/>
      <c r="AN179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9"/>
      <c r="BA179" s="39"/>
      <c r="BB179" s="39"/>
      <c r="BC179" s="39"/>
      <c r="BD179" s="39"/>
      <c r="BE179" s="39"/>
      <c r="BF179" s="39"/>
      <c r="BG179" s="39"/>
    </row>
    <row r="180" spans="1:59" s="48" customFormat="1" ht="15" x14ac:dyDescent="0.25">
      <c r="A180"/>
      <c r="B180"/>
      <c r="C180"/>
      <c r="D180" s="46"/>
      <c r="E180"/>
      <c r="F180" s="3"/>
      <c r="G180"/>
      <c r="H180"/>
      <c r="I180"/>
      <c r="J180" s="3"/>
      <c r="K180"/>
      <c r="L180"/>
      <c r="M180"/>
      <c r="N180"/>
      <c r="O180"/>
      <c r="P180" s="3"/>
      <c r="Q180" s="47"/>
      <c r="R180" s="47"/>
      <c r="S180" s="47"/>
      <c r="T180" s="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3"/>
      <c r="AH180"/>
      <c r="AI180"/>
      <c r="AJ180"/>
      <c r="AK180"/>
      <c r="AL180"/>
      <c r="AM180"/>
      <c r="AN180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9"/>
      <c r="BA180" s="39"/>
      <c r="BB180" s="39"/>
      <c r="BC180" s="39"/>
      <c r="BD180" s="39"/>
      <c r="BE180" s="39"/>
      <c r="BF180" s="39"/>
      <c r="BG180" s="39"/>
    </row>
    <row r="181" spans="1:59" s="48" customFormat="1" ht="15" x14ac:dyDescent="0.25">
      <c r="A181"/>
      <c r="B181"/>
      <c r="C181"/>
      <c r="D181" s="46"/>
      <c r="E181"/>
      <c r="F181" s="3"/>
      <c r="G181"/>
      <c r="H181"/>
      <c r="I181"/>
      <c r="J181" s="3"/>
      <c r="K181"/>
      <c r="L181"/>
      <c r="M181"/>
      <c r="N181"/>
      <c r="O181"/>
      <c r="P181" s="3"/>
      <c r="Q181" s="47"/>
      <c r="R181" s="47"/>
      <c r="S181" s="47"/>
      <c r="T181" s="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3"/>
      <c r="AH181"/>
      <c r="AI181"/>
      <c r="AJ181"/>
      <c r="AK181"/>
      <c r="AL181"/>
      <c r="AM181"/>
      <c r="AN181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9"/>
      <c r="BA181" s="39"/>
      <c r="BB181" s="39"/>
      <c r="BC181" s="39"/>
      <c r="BD181" s="39"/>
      <c r="BE181" s="39"/>
      <c r="BF181" s="39"/>
      <c r="BG181" s="39"/>
    </row>
    <row r="182" spans="1:59" s="48" customFormat="1" ht="15" x14ac:dyDescent="0.25">
      <c r="A182"/>
      <c r="B182"/>
      <c r="C182"/>
      <c r="D182" s="46"/>
      <c r="E182"/>
      <c r="F182" s="3"/>
      <c r="G182"/>
      <c r="H182"/>
      <c r="I182"/>
      <c r="J182" s="3"/>
      <c r="K182"/>
      <c r="L182"/>
      <c r="M182"/>
      <c r="N182"/>
      <c r="O182"/>
      <c r="P182" s="3"/>
      <c r="Q182" s="47"/>
      <c r="R182" s="47"/>
      <c r="S182" s="47"/>
      <c r="T182" s="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3"/>
      <c r="AH182"/>
      <c r="AI182"/>
      <c r="AJ182"/>
      <c r="AK182"/>
      <c r="AL182"/>
      <c r="AM182"/>
      <c r="AN182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9"/>
      <c r="BA182" s="39"/>
      <c r="BB182" s="39"/>
      <c r="BC182" s="39"/>
      <c r="BD182" s="39"/>
      <c r="BE182" s="39"/>
      <c r="BF182" s="39"/>
      <c r="BG182" s="39"/>
    </row>
    <row r="183" spans="1:59" s="48" customFormat="1" ht="15" x14ac:dyDescent="0.25">
      <c r="A183"/>
      <c r="B183"/>
      <c r="C183"/>
      <c r="D183" s="46"/>
      <c r="E183"/>
      <c r="F183" s="3"/>
      <c r="G183"/>
      <c r="H183"/>
      <c r="I183"/>
      <c r="J183" s="3"/>
      <c r="K183"/>
      <c r="L183"/>
      <c r="M183"/>
      <c r="N183"/>
      <c r="O183"/>
      <c r="P183" s="3"/>
      <c r="Q183" s="47"/>
      <c r="R183" s="47"/>
      <c r="S183" s="47"/>
      <c r="T183" s="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3"/>
      <c r="AH183"/>
      <c r="AI183"/>
      <c r="AJ183"/>
      <c r="AK183"/>
      <c r="AL183"/>
      <c r="AM183"/>
      <c r="AN183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9"/>
      <c r="BA183" s="39"/>
      <c r="BB183" s="39"/>
      <c r="BC183" s="39"/>
      <c r="BD183" s="39"/>
      <c r="BE183" s="39"/>
      <c r="BF183" s="39"/>
      <c r="BG183" s="39"/>
    </row>
    <row r="184" spans="1:59" s="7" customFormat="1" x14ac:dyDescent="0.2">
      <c r="A184" s="5"/>
      <c r="B184" s="5"/>
      <c r="C184" s="5"/>
      <c r="D184" s="6"/>
      <c r="E184" s="5"/>
      <c r="F184" s="3"/>
      <c r="G184" s="5"/>
      <c r="H184" s="5"/>
      <c r="I184" s="5"/>
      <c r="J184" s="3"/>
      <c r="K184" s="5"/>
      <c r="L184" s="5"/>
      <c r="M184" s="5"/>
      <c r="N184" s="5"/>
      <c r="O184" s="5"/>
      <c r="P184" s="3"/>
      <c r="Q184" s="14"/>
      <c r="R184" s="14"/>
      <c r="S184" s="14"/>
      <c r="T184" s="3"/>
      <c r="U184" s="4"/>
      <c r="V184" s="4"/>
      <c r="W184" s="4"/>
      <c r="X184" s="4"/>
      <c r="Y184" s="4"/>
      <c r="Z184" s="3"/>
      <c r="AB184" s="14"/>
      <c r="AC184" s="14"/>
      <c r="AD184" s="14"/>
      <c r="AE184" s="33"/>
      <c r="AG184" s="3"/>
    </row>
    <row r="185" spans="1:59" s="7" customFormat="1" x14ac:dyDescent="0.2">
      <c r="A185" s="5"/>
      <c r="B185" s="5"/>
      <c r="C185" s="5"/>
      <c r="D185" s="6"/>
      <c r="E185" s="5"/>
      <c r="F185" s="3"/>
      <c r="G185" s="5"/>
      <c r="H185" s="5"/>
      <c r="I185" s="5"/>
      <c r="J185" s="3"/>
      <c r="K185" s="5"/>
      <c r="L185" s="5"/>
      <c r="M185" s="5"/>
      <c r="N185" s="5"/>
      <c r="O185" s="5"/>
      <c r="P185" s="3"/>
      <c r="Q185" s="14"/>
      <c r="R185" s="14"/>
      <c r="S185" s="14"/>
      <c r="T185" s="3"/>
      <c r="U185" s="4"/>
      <c r="V185" s="4"/>
      <c r="W185" s="4"/>
      <c r="X185" s="4"/>
      <c r="Y185" s="4"/>
      <c r="Z185" s="3"/>
      <c r="AB185" s="14"/>
      <c r="AC185" s="14"/>
      <c r="AD185" s="14"/>
      <c r="AE185" s="33"/>
      <c r="AG185" s="3"/>
    </row>
    <row r="186" spans="1:59" s="7" customFormat="1" x14ac:dyDescent="0.2">
      <c r="A186" s="5"/>
      <c r="B186" s="5"/>
      <c r="C186" s="5"/>
      <c r="D186" s="6"/>
      <c r="E186" s="5"/>
      <c r="F186" s="3"/>
      <c r="G186" s="5"/>
      <c r="H186" s="5"/>
      <c r="I186" s="5"/>
      <c r="J186" s="3"/>
      <c r="K186" s="5"/>
      <c r="L186" s="5"/>
      <c r="M186" s="5"/>
      <c r="N186" s="5"/>
      <c r="O186" s="5"/>
      <c r="P186" s="3"/>
      <c r="Q186" s="14"/>
      <c r="R186" s="14"/>
      <c r="S186" s="14"/>
      <c r="T186" s="3"/>
      <c r="U186" s="4"/>
      <c r="V186" s="4"/>
      <c r="W186" s="4"/>
      <c r="X186" s="4"/>
      <c r="Y186" s="4"/>
      <c r="Z186" s="3"/>
      <c r="AB186" s="14"/>
      <c r="AC186" s="14"/>
      <c r="AD186" s="14"/>
      <c r="AE186" s="33"/>
      <c r="AG186" s="3"/>
    </row>
    <row r="187" spans="1:59" s="7" customFormat="1" x14ac:dyDescent="0.2">
      <c r="A187" s="5"/>
      <c r="B187" s="5"/>
      <c r="C187" s="5"/>
      <c r="D187" s="6"/>
      <c r="E187" s="5"/>
      <c r="F187" s="3"/>
      <c r="G187" s="5"/>
      <c r="H187" s="5"/>
      <c r="I187" s="5"/>
      <c r="J187" s="3"/>
      <c r="K187" s="5"/>
      <c r="L187" s="5"/>
      <c r="M187" s="5"/>
      <c r="N187" s="5"/>
      <c r="O187" s="5"/>
      <c r="P187" s="3"/>
      <c r="Q187" s="14"/>
      <c r="R187" s="14"/>
      <c r="S187" s="14"/>
      <c r="T187" s="3"/>
      <c r="U187" s="4"/>
      <c r="V187" s="4"/>
      <c r="W187" s="4"/>
      <c r="X187" s="4"/>
      <c r="Y187" s="4"/>
      <c r="Z187" s="3"/>
      <c r="AB187" s="14"/>
      <c r="AC187" s="14"/>
      <c r="AD187" s="14"/>
      <c r="AE187" s="33"/>
      <c r="AG187" s="3"/>
    </row>
    <row r="188" spans="1:59" s="7" customFormat="1" x14ac:dyDescent="0.2">
      <c r="A188" s="5"/>
      <c r="B188" s="5"/>
      <c r="C188" s="5"/>
      <c r="D188" s="6"/>
      <c r="E188" s="5"/>
      <c r="F188" s="3"/>
      <c r="G188" s="5"/>
      <c r="H188" s="5"/>
      <c r="I188" s="5"/>
      <c r="J188" s="3"/>
      <c r="K188" s="5"/>
      <c r="L188" s="5"/>
      <c r="M188" s="5"/>
      <c r="N188" s="5"/>
      <c r="O188" s="5"/>
      <c r="P188" s="3"/>
      <c r="Q188" s="14"/>
      <c r="R188" s="14"/>
      <c r="S188" s="14"/>
      <c r="T188" s="3"/>
      <c r="U188" s="4"/>
      <c r="V188" s="4"/>
      <c r="W188" s="4"/>
      <c r="X188" s="4"/>
      <c r="Y188" s="4"/>
      <c r="Z188" s="3"/>
      <c r="AB188" s="14"/>
      <c r="AC188" s="14"/>
      <c r="AD188" s="14"/>
      <c r="AE188" s="33"/>
      <c r="AG188" s="3"/>
    </row>
    <row r="189" spans="1:59" s="7" customFormat="1" x14ac:dyDescent="0.2">
      <c r="A189" s="5"/>
      <c r="B189" s="5"/>
      <c r="C189" s="5"/>
      <c r="D189" s="6"/>
      <c r="E189" s="5"/>
      <c r="F189" s="3"/>
      <c r="G189" s="5"/>
      <c r="H189" s="5"/>
      <c r="I189" s="5"/>
      <c r="J189" s="3"/>
      <c r="K189" s="5"/>
      <c r="L189" s="5"/>
      <c r="M189" s="5"/>
      <c r="N189" s="5"/>
      <c r="O189" s="5"/>
      <c r="P189" s="3"/>
      <c r="Q189" s="14"/>
      <c r="R189" s="14"/>
      <c r="S189" s="14"/>
      <c r="T189" s="3"/>
      <c r="U189" s="4"/>
      <c r="V189" s="4"/>
      <c r="W189" s="4"/>
      <c r="X189" s="4"/>
      <c r="Y189" s="4"/>
      <c r="Z189" s="3"/>
      <c r="AB189" s="14"/>
      <c r="AC189" s="14"/>
      <c r="AD189" s="14"/>
      <c r="AE189" s="33"/>
      <c r="AG189" s="3"/>
    </row>
    <row r="190" spans="1:59" s="7" customFormat="1" x14ac:dyDescent="0.2">
      <c r="A190" s="5"/>
      <c r="B190" s="5"/>
      <c r="C190" s="5"/>
      <c r="D190" s="6"/>
      <c r="E190" s="5"/>
      <c r="F190" s="3"/>
      <c r="G190" s="5"/>
      <c r="H190" s="5"/>
      <c r="I190" s="5"/>
      <c r="J190" s="3"/>
      <c r="K190" s="5"/>
      <c r="L190" s="5"/>
      <c r="M190" s="5"/>
      <c r="N190" s="5"/>
      <c r="O190" s="5"/>
      <c r="P190" s="3"/>
      <c r="Q190" s="14"/>
      <c r="R190" s="14"/>
      <c r="S190" s="14"/>
      <c r="T190" s="3"/>
      <c r="U190" s="4"/>
      <c r="V190" s="4"/>
      <c r="W190" s="4"/>
      <c r="X190" s="4"/>
      <c r="Y190" s="4"/>
      <c r="Z190" s="3"/>
      <c r="AB190" s="14"/>
      <c r="AC190" s="14"/>
      <c r="AD190" s="14"/>
      <c r="AE190" s="33"/>
      <c r="AG190" s="3"/>
    </row>
    <row r="191" spans="1:59" s="7" customFormat="1" x14ac:dyDescent="0.2">
      <c r="A191" s="5"/>
      <c r="B191" s="5"/>
      <c r="C191" s="5"/>
      <c r="D191" s="6"/>
      <c r="E191" s="5"/>
      <c r="F191" s="3"/>
      <c r="G191" s="5"/>
      <c r="H191" s="5"/>
      <c r="I191" s="5"/>
      <c r="J191" s="3"/>
      <c r="K191" s="5"/>
      <c r="L191" s="5"/>
      <c r="M191" s="5"/>
      <c r="N191" s="5"/>
      <c r="O191" s="5"/>
      <c r="P191" s="3"/>
      <c r="Q191" s="14"/>
      <c r="R191" s="14"/>
      <c r="S191" s="14"/>
      <c r="T191" s="3"/>
      <c r="U191" s="4"/>
      <c r="V191" s="4"/>
      <c r="W191" s="4"/>
      <c r="X191" s="4"/>
      <c r="Y191" s="4"/>
      <c r="Z191" s="3"/>
      <c r="AB191" s="14"/>
      <c r="AC191" s="14"/>
      <c r="AD191" s="14"/>
      <c r="AE191" s="33"/>
      <c r="AG191" s="3"/>
    </row>
    <row r="192" spans="1:59" s="7" customFormat="1" x14ac:dyDescent="0.2">
      <c r="A192" s="5"/>
      <c r="B192" s="5"/>
      <c r="C192" s="5"/>
      <c r="D192" s="6"/>
      <c r="E192" s="5"/>
      <c r="F192" s="3"/>
      <c r="G192" s="5"/>
      <c r="H192" s="5"/>
      <c r="I192" s="5"/>
      <c r="J192" s="3"/>
      <c r="K192" s="5"/>
      <c r="L192" s="5"/>
      <c r="M192" s="5"/>
      <c r="N192" s="5"/>
      <c r="O192" s="5"/>
      <c r="P192" s="3"/>
      <c r="Q192" s="14"/>
      <c r="R192" s="14"/>
      <c r="S192" s="14"/>
      <c r="T192" s="3"/>
      <c r="U192" s="4"/>
      <c r="V192" s="4"/>
      <c r="W192" s="4"/>
      <c r="X192" s="4"/>
      <c r="Y192" s="4"/>
      <c r="Z192" s="3"/>
      <c r="AB192" s="14"/>
      <c r="AC192" s="14"/>
      <c r="AD192" s="14"/>
      <c r="AE192" s="33"/>
      <c r="AG192" s="3"/>
    </row>
    <row r="193" spans="1:33" s="7" customFormat="1" x14ac:dyDescent="0.2">
      <c r="A193" s="5"/>
      <c r="B193" s="5"/>
      <c r="C193" s="5"/>
      <c r="D193" s="6"/>
      <c r="E193" s="5"/>
      <c r="F193" s="3"/>
      <c r="G193" s="5"/>
      <c r="H193" s="5"/>
      <c r="I193" s="5"/>
      <c r="J193" s="3"/>
      <c r="K193" s="5"/>
      <c r="L193" s="5"/>
      <c r="M193" s="5"/>
      <c r="N193" s="5"/>
      <c r="O193" s="5"/>
      <c r="P193" s="3"/>
      <c r="Q193" s="14"/>
      <c r="R193" s="14"/>
      <c r="S193" s="14"/>
      <c r="T193" s="3"/>
      <c r="U193" s="4"/>
      <c r="V193" s="4"/>
      <c r="W193" s="4"/>
      <c r="X193" s="4"/>
      <c r="Y193" s="4"/>
      <c r="Z193" s="3"/>
      <c r="AB193" s="14"/>
      <c r="AC193" s="14"/>
      <c r="AD193" s="14"/>
      <c r="AE193" s="33"/>
      <c r="AG193" s="3"/>
    </row>
    <row r="194" spans="1:33" s="7" customFormat="1" x14ac:dyDescent="0.2">
      <c r="A194" s="5"/>
      <c r="B194" s="5"/>
      <c r="C194" s="5"/>
      <c r="D194" s="6"/>
      <c r="E194" s="5"/>
      <c r="F194" s="3"/>
      <c r="G194" s="5"/>
      <c r="H194" s="5"/>
      <c r="I194" s="5"/>
      <c r="J194" s="3"/>
      <c r="K194" s="5"/>
      <c r="L194" s="5"/>
      <c r="M194" s="5"/>
      <c r="N194" s="5"/>
      <c r="O194" s="5"/>
      <c r="P194" s="3"/>
      <c r="Q194" s="14"/>
      <c r="R194" s="14"/>
      <c r="S194" s="14"/>
      <c r="T194" s="3"/>
      <c r="U194" s="4"/>
      <c r="V194" s="4"/>
      <c r="W194" s="4"/>
      <c r="X194" s="4"/>
      <c r="Y194" s="4"/>
      <c r="Z194" s="3"/>
      <c r="AB194" s="14"/>
      <c r="AC194" s="14"/>
      <c r="AD194" s="14"/>
      <c r="AE194" s="33"/>
      <c r="AG194" s="3"/>
    </row>
    <row r="195" spans="1:33" s="7" customFormat="1" x14ac:dyDescent="0.2">
      <c r="A195" s="5"/>
      <c r="B195" s="5"/>
      <c r="C195" s="5"/>
      <c r="D195" s="6"/>
      <c r="E195" s="5"/>
      <c r="F195" s="3"/>
      <c r="G195" s="5"/>
      <c r="H195" s="5"/>
      <c r="I195" s="5"/>
      <c r="J195" s="3"/>
      <c r="K195" s="5"/>
      <c r="L195" s="5"/>
      <c r="M195" s="5"/>
      <c r="N195" s="5"/>
      <c r="O195" s="5"/>
      <c r="P195" s="3"/>
      <c r="Q195" s="14"/>
      <c r="R195" s="14"/>
      <c r="S195" s="14"/>
      <c r="T195" s="3"/>
      <c r="U195" s="4"/>
      <c r="V195" s="4"/>
      <c r="W195" s="4"/>
      <c r="X195" s="4"/>
      <c r="Y195" s="4"/>
      <c r="Z195" s="3"/>
      <c r="AB195" s="14"/>
      <c r="AC195" s="14"/>
      <c r="AD195" s="14"/>
      <c r="AE195" s="33"/>
      <c r="AG195" s="3"/>
    </row>
    <row r="196" spans="1:33" s="7" customFormat="1" x14ac:dyDescent="0.2">
      <c r="A196" s="5"/>
      <c r="B196" s="5"/>
      <c r="C196" s="5"/>
      <c r="D196" s="6"/>
      <c r="E196" s="5"/>
      <c r="F196" s="3"/>
      <c r="G196" s="5"/>
      <c r="H196" s="5"/>
      <c r="I196" s="5"/>
      <c r="J196" s="3"/>
      <c r="K196" s="5"/>
      <c r="L196" s="5"/>
      <c r="M196" s="5"/>
      <c r="N196" s="5"/>
      <c r="O196" s="5"/>
      <c r="P196" s="3"/>
      <c r="Q196" s="14"/>
      <c r="R196" s="14"/>
      <c r="S196" s="14"/>
      <c r="T196" s="3"/>
      <c r="U196" s="4"/>
      <c r="V196" s="4"/>
      <c r="W196" s="4"/>
      <c r="X196" s="4"/>
      <c r="Y196" s="4"/>
      <c r="Z196" s="3"/>
      <c r="AB196" s="14"/>
      <c r="AC196" s="14"/>
      <c r="AD196" s="14"/>
      <c r="AE196" s="33"/>
      <c r="AG196" s="3"/>
    </row>
    <row r="197" spans="1:33" s="7" customFormat="1" x14ac:dyDescent="0.2">
      <c r="A197" s="5"/>
      <c r="B197" s="5"/>
      <c r="C197" s="5"/>
      <c r="D197" s="6"/>
      <c r="E197" s="5"/>
      <c r="F197" s="3"/>
      <c r="G197" s="5"/>
      <c r="H197" s="5"/>
      <c r="I197" s="5"/>
      <c r="J197" s="3"/>
      <c r="K197" s="5"/>
      <c r="L197" s="5"/>
      <c r="M197" s="5"/>
      <c r="N197" s="5"/>
      <c r="O197" s="5"/>
      <c r="P197" s="3"/>
      <c r="Q197" s="14"/>
      <c r="R197" s="14"/>
      <c r="S197" s="14"/>
      <c r="T197" s="3"/>
      <c r="U197" s="4"/>
      <c r="V197" s="4"/>
      <c r="W197" s="4"/>
      <c r="X197" s="4"/>
      <c r="Y197" s="4"/>
      <c r="Z197" s="3"/>
      <c r="AB197" s="14"/>
      <c r="AC197" s="14"/>
      <c r="AD197" s="14"/>
      <c r="AE197" s="33"/>
      <c r="AG197" s="3"/>
    </row>
    <row r="198" spans="1:33" s="7" customFormat="1" x14ac:dyDescent="0.2">
      <c r="A198" s="5"/>
      <c r="B198" s="5"/>
      <c r="C198" s="5"/>
      <c r="D198" s="6"/>
      <c r="E198" s="5"/>
      <c r="F198" s="3"/>
      <c r="G198" s="5"/>
      <c r="H198" s="5"/>
      <c r="I198" s="5"/>
      <c r="J198" s="3"/>
      <c r="K198" s="5"/>
      <c r="L198" s="5"/>
      <c r="M198" s="5"/>
      <c r="N198" s="5"/>
      <c r="O198" s="5"/>
      <c r="P198" s="3"/>
      <c r="Q198" s="14"/>
      <c r="R198" s="14"/>
      <c r="S198" s="14"/>
      <c r="T198" s="3"/>
      <c r="U198" s="4"/>
      <c r="V198" s="4"/>
      <c r="W198" s="4"/>
      <c r="X198" s="4"/>
      <c r="Y198" s="4"/>
      <c r="Z198" s="3"/>
      <c r="AB198" s="14"/>
      <c r="AC198" s="14"/>
      <c r="AD198" s="14"/>
      <c r="AE198" s="33"/>
      <c r="AG198" s="3"/>
    </row>
    <row r="199" spans="1:33" s="7" customFormat="1" x14ac:dyDescent="0.2">
      <c r="A199" s="5"/>
      <c r="B199" s="5"/>
      <c r="C199" s="5"/>
      <c r="D199" s="6"/>
      <c r="E199" s="5"/>
      <c r="F199" s="3"/>
      <c r="G199" s="5"/>
      <c r="H199" s="5"/>
      <c r="I199" s="5"/>
      <c r="J199" s="3"/>
      <c r="K199" s="5"/>
      <c r="L199" s="5"/>
      <c r="M199" s="5"/>
      <c r="N199" s="5"/>
      <c r="O199" s="5"/>
      <c r="P199" s="3"/>
      <c r="Q199" s="14"/>
      <c r="R199" s="14"/>
      <c r="S199" s="14"/>
      <c r="T199" s="3"/>
      <c r="U199" s="4"/>
      <c r="V199" s="4"/>
      <c r="W199" s="4"/>
      <c r="X199" s="4"/>
      <c r="Y199" s="4"/>
      <c r="Z199" s="3"/>
      <c r="AB199" s="14"/>
      <c r="AC199" s="14"/>
      <c r="AD199" s="14"/>
      <c r="AE199" s="33"/>
      <c r="AG199" s="3"/>
    </row>
    <row r="200" spans="1:33" s="7" customFormat="1" x14ac:dyDescent="0.2">
      <c r="A200" s="5"/>
      <c r="B200" s="5"/>
      <c r="C200" s="5"/>
      <c r="D200" s="6"/>
      <c r="E200" s="5"/>
      <c r="F200" s="3"/>
      <c r="G200" s="5"/>
      <c r="H200" s="5"/>
      <c r="I200" s="5"/>
      <c r="J200" s="3"/>
      <c r="K200" s="5"/>
      <c r="L200" s="5"/>
      <c r="M200" s="5"/>
      <c r="N200" s="5"/>
      <c r="O200" s="5"/>
      <c r="P200" s="3"/>
      <c r="Q200" s="14"/>
      <c r="R200" s="14"/>
      <c r="S200" s="14"/>
      <c r="T200" s="3"/>
      <c r="U200" s="4"/>
      <c r="V200" s="4"/>
      <c r="W200" s="4"/>
      <c r="X200" s="4"/>
      <c r="Y200" s="4"/>
      <c r="Z200" s="3"/>
      <c r="AB200" s="14"/>
      <c r="AC200" s="14"/>
      <c r="AD200" s="14"/>
      <c r="AE200" s="33"/>
      <c r="AG200" s="3"/>
    </row>
    <row r="201" spans="1:33" s="7" customFormat="1" x14ac:dyDescent="0.2">
      <c r="A201" s="5"/>
      <c r="B201" s="5"/>
      <c r="C201" s="5"/>
      <c r="D201" s="6"/>
      <c r="E201" s="5"/>
      <c r="F201" s="3"/>
      <c r="G201" s="5"/>
      <c r="H201" s="5"/>
      <c r="I201" s="5"/>
      <c r="J201" s="3"/>
      <c r="K201" s="5"/>
      <c r="L201" s="5"/>
      <c r="M201" s="5"/>
      <c r="N201" s="5"/>
      <c r="O201" s="5"/>
      <c r="P201" s="3"/>
      <c r="Q201" s="14"/>
      <c r="R201" s="14"/>
      <c r="S201" s="14"/>
      <c r="T201" s="3"/>
      <c r="U201" s="4"/>
      <c r="V201" s="4"/>
      <c r="W201" s="4"/>
      <c r="X201" s="4"/>
      <c r="Y201" s="4"/>
      <c r="Z201" s="3"/>
      <c r="AB201" s="14"/>
      <c r="AC201" s="14"/>
      <c r="AD201" s="14"/>
      <c r="AE201" s="33"/>
      <c r="AG201" s="3"/>
    </row>
    <row r="202" spans="1:33" s="7" customFormat="1" x14ac:dyDescent="0.2">
      <c r="A202" s="5"/>
      <c r="B202" s="5"/>
      <c r="C202" s="5"/>
      <c r="D202" s="6"/>
      <c r="E202" s="5"/>
      <c r="F202" s="3"/>
      <c r="G202" s="5"/>
      <c r="H202" s="5"/>
      <c r="I202" s="5"/>
      <c r="J202" s="3"/>
      <c r="K202" s="5"/>
      <c r="L202" s="5"/>
      <c r="M202" s="5"/>
      <c r="N202" s="5"/>
      <c r="O202" s="5"/>
      <c r="P202" s="3"/>
      <c r="Q202" s="14"/>
      <c r="R202" s="14"/>
      <c r="S202" s="14"/>
      <c r="T202" s="3"/>
      <c r="U202" s="4"/>
      <c r="V202" s="4"/>
      <c r="W202" s="4"/>
      <c r="X202" s="4"/>
      <c r="Y202" s="4"/>
      <c r="Z202" s="3"/>
      <c r="AB202" s="14"/>
      <c r="AC202" s="14"/>
      <c r="AD202" s="14"/>
      <c r="AE202" s="33"/>
      <c r="AG202" s="3"/>
    </row>
    <row r="203" spans="1:33" s="7" customFormat="1" x14ac:dyDescent="0.2">
      <c r="A203" s="5"/>
      <c r="B203" s="5"/>
      <c r="C203" s="5"/>
      <c r="D203" s="6"/>
      <c r="E203" s="5"/>
      <c r="F203" s="3"/>
      <c r="G203" s="5"/>
      <c r="H203" s="5"/>
      <c r="I203" s="5"/>
      <c r="J203" s="3"/>
      <c r="K203" s="5"/>
      <c r="L203" s="5"/>
      <c r="M203" s="5"/>
      <c r="N203" s="5"/>
      <c r="O203" s="5"/>
      <c r="P203" s="3"/>
      <c r="Q203" s="14"/>
      <c r="R203" s="14"/>
      <c r="S203" s="14"/>
      <c r="T203" s="3"/>
      <c r="U203" s="4"/>
      <c r="V203" s="4"/>
      <c r="W203" s="4"/>
      <c r="X203" s="4"/>
      <c r="Y203" s="4"/>
      <c r="Z203" s="3"/>
      <c r="AB203" s="14"/>
      <c r="AC203" s="14"/>
      <c r="AD203" s="14"/>
      <c r="AE203" s="33"/>
      <c r="AG203" s="3"/>
    </row>
    <row r="204" spans="1:33" s="7" customFormat="1" x14ac:dyDescent="0.2">
      <c r="A204" s="5"/>
      <c r="B204" s="5"/>
      <c r="C204" s="5"/>
      <c r="D204" s="6"/>
      <c r="E204" s="5"/>
      <c r="F204" s="3"/>
      <c r="G204" s="5"/>
      <c r="H204" s="5"/>
      <c r="I204" s="5"/>
      <c r="J204" s="3"/>
      <c r="K204" s="5"/>
      <c r="L204" s="5"/>
      <c r="M204" s="5"/>
      <c r="N204" s="5"/>
      <c r="O204" s="5"/>
      <c r="P204" s="3"/>
      <c r="Q204" s="14"/>
      <c r="R204" s="14"/>
      <c r="S204" s="14"/>
      <c r="T204" s="3"/>
      <c r="U204" s="4"/>
      <c r="V204" s="4"/>
      <c r="W204" s="4"/>
      <c r="X204" s="4"/>
      <c r="Y204" s="4"/>
      <c r="Z204" s="3"/>
      <c r="AB204" s="14"/>
      <c r="AC204" s="14"/>
      <c r="AD204" s="14"/>
      <c r="AE204" s="33"/>
      <c r="AG204" s="3"/>
    </row>
    <row r="205" spans="1:33" s="7" customFormat="1" x14ac:dyDescent="0.2">
      <c r="A205" s="5"/>
      <c r="B205" s="5"/>
      <c r="C205" s="5"/>
      <c r="D205" s="6"/>
      <c r="E205" s="5"/>
      <c r="F205" s="3"/>
      <c r="G205" s="5"/>
      <c r="H205" s="5"/>
      <c r="I205" s="5"/>
      <c r="J205" s="3"/>
      <c r="K205" s="5"/>
      <c r="L205" s="5"/>
      <c r="M205" s="5"/>
      <c r="N205" s="5"/>
      <c r="O205" s="5"/>
      <c r="P205" s="3"/>
      <c r="Q205" s="14"/>
      <c r="R205" s="14"/>
      <c r="S205" s="14"/>
      <c r="T205" s="3"/>
      <c r="U205" s="4"/>
      <c r="V205" s="4"/>
      <c r="W205" s="4"/>
      <c r="X205" s="4"/>
      <c r="Y205" s="4"/>
      <c r="Z205" s="3"/>
      <c r="AB205" s="14"/>
      <c r="AC205" s="14"/>
      <c r="AD205" s="14"/>
      <c r="AE205" s="33"/>
      <c r="AG205" s="3"/>
    </row>
    <row r="206" spans="1:33" s="7" customFormat="1" x14ac:dyDescent="0.2">
      <c r="A206" s="5"/>
      <c r="B206" s="5"/>
      <c r="C206" s="5"/>
      <c r="D206" s="6"/>
      <c r="E206" s="5"/>
      <c r="F206" s="3"/>
      <c r="G206" s="5"/>
      <c r="H206" s="5"/>
      <c r="I206" s="5"/>
      <c r="J206" s="3"/>
      <c r="K206" s="5"/>
      <c r="L206" s="5"/>
      <c r="M206" s="5"/>
      <c r="N206" s="5"/>
      <c r="O206" s="5"/>
      <c r="P206" s="3"/>
      <c r="Q206" s="14"/>
      <c r="R206" s="14"/>
      <c r="S206" s="14"/>
      <c r="T206" s="3"/>
      <c r="U206" s="4"/>
      <c r="V206" s="4"/>
      <c r="W206" s="4"/>
      <c r="X206" s="4"/>
      <c r="Y206" s="4"/>
      <c r="Z206" s="3"/>
      <c r="AB206" s="14"/>
      <c r="AC206" s="14"/>
      <c r="AD206" s="14"/>
      <c r="AE206" s="33"/>
      <c r="AG206" s="3"/>
    </row>
    <row r="207" spans="1:33" s="7" customFormat="1" x14ac:dyDescent="0.2">
      <c r="A207" s="5"/>
      <c r="B207" s="5"/>
      <c r="C207" s="5"/>
      <c r="D207" s="6"/>
      <c r="E207" s="5"/>
      <c r="F207" s="3"/>
      <c r="G207" s="5"/>
      <c r="H207" s="5"/>
      <c r="I207" s="5"/>
      <c r="J207" s="3"/>
      <c r="K207" s="5"/>
      <c r="L207" s="5"/>
      <c r="M207" s="5"/>
      <c r="N207" s="5"/>
      <c r="O207" s="5"/>
      <c r="P207" s="3"/>
      <c r="Q207" s="14"/>
      <c r="R207" s="14"/>
      <c r="S207" s="14"/>
      <c r="T207" s="3"/>
      <c r="U207" s="4"/>
      <c r="V207" s="4"/>
      <c r="W207" s="4"/>
      <c r="X207" s="4"/>
      <c r="Y207" s="4"/>
      <c r="Z207" s="3"/>
      <c r="AB207" s="14"/>
      <c r="AC207" s="14"/>
      <c r="AD207" s="14"/>
      <c r="AE207" s="33"/>
      <c r="AG207" s="3"/>
    </row>
    <row r="208" spans="1:33" s="7" customFormat="1" x14ac:dyDescent="0.2">
      <c r="A208" s="5"/>
      <c r="B208" s="5"/>
      <c r="C208" s="5"/>
      <c r="D208" s="6"/>
      <c r="E208" s="5"/>
      <c r="F208" s="3"/>
      <c r="G208" s="5"/>
      <c r="H208" s="5"/>
      <c r="I208" s="5"/>
      <c r="J208" s="3"/>
      <c r="K208" s="5"/>
      <c r="L208" s="5"/>
      <c r="M208" s="5"/>
      <c r="N208" s="5"/>
      <c r="O208" s="5"/>
      <c r="P208" s="3"/>
      <c r="Q208" s="14"/>
      <c r="R208" s="14"/>
      <c r="S208" s="14"/>
      <c r="T208" s="3"/>
      <c r="U208" s="4"/>
      <c r="V208" s="4"/>
      <c r="W208" s="4"/>
      <c r="X208" s="4"/>
      <c r="Y208" s="4"/>
      <c r="Z208" s="3"/>
      <c r="AB208" s="14"/>
      <c r="AC208" s="14"/>
      <c r="AD208" s="14"/>
      <c r="AE208" s="33"/>
      <c r="AG208" s="3"/>
    </row>
    <row r="209" spans="1:33" s="7" customFormat="1" x14ac:dyDescent="0.2">
      <c r="A209" s="5"/>
      <c r="B209" s="5"/>
      <c r="C209" s="5"/>
      <c r="D209" s="6"/>
      <c r="E209" s="5"/>
      <c r="F209" s="3"/>
      <c r="G209" s="5"/>
      <c r="H209" s="5"/>
      <c r="I209" s="5"/>
      <c r="J209" s="3"/>
      <c r="K209" s="5"/>
      <c r="L209" s="5"/>
      <c r="M209" s="5"/>
      <c r="N209" s="5"/>
      <c r="O209" s="5"/>
      <c r="P209" s="3"/>
      <c r="Q209" s="14"/>
      <c r="R209" s="14"/>
      <c r="S209" s="14"/>
      <c r="T209" s="3"/>
      <c r="U209" s="4"/>
      <c r="V209" s="4"/>
      <c r="W209" s="4"/>
      <c r="X209" s="4"/>
      <c r="Y209" s="4"/>
      <c r="Z209" s="3"/>
      <c r="AB209" s="14"/>
      <c r="AC209" s="14"/>
      <c r="AD209" s="14"/>
      <c r="AE209" s="33"/>
      <c r="AG209" s="3"/>
    </row>
    <row r="210" spans="1:33" s="7" customFormat="1" x14ac:dyDescent="0.2">
      <c r="A210" s="5"/>
      <c r="B210" s="5"/>
      <c r="C210" s="5"/>
      <c r="D210" s="6"/>
      <c r="E210" s="5"/>
      <c r="F210" s="3"/>
      <c r="G210" s="5"/>
      <c r="H210" s="5"/>
      <c r="I210" s="5"/>
      <c r="J210" s="3"/>
      <c r="K210" s="5"/>
      <c r="L210" s="5"/>
      <c r="M210" s="5"/>
      <c r="N210" s="5"/>
      <c r="O210" s="5"/>
      <c r="P210" s="3"/>
      <c r="Q210" s="14"/>
      <c r="R210" s="14"/>
      <c r="S210" s="14"/>
      <c r="T210" s="3"/>
      <c r="U210" s="4"/>
      <c r="V210" s="4"/>
      <c r="W210" s="4"/>
      <c r="X210" s="4"/>
      <c r="Y210" s="4"/>
      <c r="Z210" s="3"/>
      <c r="AB210" s="14"/>
      <c r="AC210" s="14"/>
      <c r="AD210" s="14"/>
      <c r="AE210" s="33"/>
      <c r="AG210" s="3"/>
    </row>
    <row r="211" spans="1:33" s="7" customFormat="1" x14ac:dyDescent="0.2">
      <c r="A211" s="5"/>
      <c r="B211" s="5"/>
      <c r="C211" s="5"/>
      <c r="D211" s="6"/>
      <c r="E211" s="5"/>
      <c r="F211" s="3"/>
      <c r="G211" s="5"/>
      <c r="H211" s="5"/>
      <c r="I211" s="5"/>
      <c r="J211" s="3"/>
      <c r="K211" s="5"/>
      <c r="L211" s="5"/>
      <c r="M211" s="5"/>
      <c r="N211" s="5"/>
      <c r="O211" s="5"/>
      <c r="P211" s="3"/>
      <c r="Q211" s="14"/>
      <c r="R211" s="14"/>
      <c r="S211" s="14"/>
      <c r="T211" s="3"/>
      <c r="U211" s="4"/>
      <c r="V211" s="4"/>
      <c r="W211" s="4"/>
      <c r="X211" s="4"/>
      <c r="Y211" s="4"/>
      <c r="Z211" s="3"/>
      <c r="AB211" s="14"/>
      <c r="AC211" s="14"/>
      <c r="AD211" s="14"/>
      <c r="AE211" s="33"/>
      <c r="AG211" s="3"/>
    </row>
    <row r="212" spans="1:33" s="7" customFormat="1" x14ac:dyDescent="0.2">
      <c r="A212" s="5"/>
      <c r="B212" s="5"/>
      <c r="C212" s="5"/>
      <c r="D212" s="6"/>
      <c r="E212" s="5"/>
      <c r="F212" s="3"/>
      <c r="G212" s="5"/>
      <c r="H212" s="5"/>
      <c r="I212" s="5"/>
      <c r="J212" s="3"/>
      <c r="K212" s="5"/>
      <c r="L212" s="5"/>
      <c r="M212" s="5"/>
      <c r="N212" s="5"/>
      <c r="O212" s="5"/>
      <c r="P212" s="3"/>
      <c r="Q212" s="14"/>
      <c r="R212" s="14"/>
      <c r="S212" s="14"/>
      <c r="T212" s="3"/>
      <c r="U212" s="4"/>
      <c r="V212" s="4"/>
      <c r="W212" s="4"/>
      <c r="X212" s="4"/>
      <c r="Y212" s="4"/>
      <c r="Z212" s="3"/>
      <c r="AB212" s="14"/>
      <c r="AC212" s="14"/>
      <c r="AD212" s="14"/>
      <c r="AE212" s="33"/>
      <c r="AG212" s="3"/>
    </row>
    <row r="213" spans="1:33" s="7" customFormat="1" x14ac:dyDescent="0.2">
      <c r="A213" s="5"/>
      <c r="B213" s="5"/>
      <c r="C213" s="5"/>
      <c r="D213" s="6"/>
      <c r="E213" s="5"/>
      <c r="F213" s="3"/>
      <c r="G213" s="5"/>
      <c r="H213" s="5"/>
      <c r="I213" s="5"/>
      <c r="J213" s="3"/>
      <c r="K213" s="5"/>
      <c r="L213" s="5"/>
      <c r="M213" s="5"/>
      <c r="N213" s="5"/>
      <c r="O213" s="5"/>
      <c r="P213" s="3"/>
      <c r="Q213" s="14"/>
      <c r="R213" s="14"/>
      <c r="S213" s="14"/>
      <c r="T213" s="3"/>
      <c r="U213" s="4"/>
      <c r="V213" s="4"/>
      <c r="W213" s="4"/>
      <c r="X213" s="4"/>
      <c r="Y213" s="4"/>
      <c r="Z213" s="3"/>
      <c r="AB213" s="14"/>
      <c r="AC213" s="14"/>
      <c r="AD213" s="14"/>
      <c r="AE213" s="33"/>
      <c r="AG213" s="3"/>
    </row>
    <row r="214" spans="1:33" s="7" customFormat="1" x14ac:dyDescent="0.2">
      <c r="A214" s="5"/>
      <c r="B214" s="5"/>
      <c r="C214" s="5"/>
      <c r="D214" s="6"/>
      <c r="E214" s="5"/>
      <c r="F214" s="3"/>
      <c r="G214" s="5"/>
      <c r="H214" s="5"/>
      <c r="I214" s="5"/>
      <c r="J214" s="3"/>
      <c r="K214" s="5"/>
      <c r="L214" s="5"/>
      <c r="M214" s="5"/>
      <c r="N214" s="5"/>
      <c r="O214" s="5"/>
      <c r="P214" s="3"/>
      <c r="Q214" s="14"/>
      <c r="R214" s="14"/>
      <c r="S214" s="14"/>
      <c r="T214" s="3"/>
      <c r="U214" s="4"/>
      <c r="V214" s="4"/>
      <c r="W214" s="4"/>
      <c r="X214" s="4"/>
      <c r="Y214" s="4"/>
      <c r="Z214" s="3"/>
      <c r="AB214" s="14"/>
      <c r="AC214" s="14"/>
      <c r="AD214" s="14"/>
      <c r="AE214" s="33"/>
      <c r="AG214" s="3"/>
    </row>
    <row r="215" spans="1:33" s="7" customFormat="1" x14ac:dyDescent="0.2">
      <c r="A215" s="5"/>
      <c r="B215" s="5"/>
      <c r="C215" s="5"/>
      <c r="D215" s="6"/>
      <c r="E215" s="5"/>
      <c r="F215" s="3"/>
      <c r="G215" s="5"/>
      <c r="H215" s="5"/>
      <c r="I215" s="5"/>
      <c r="J215" s="3"/>
      <c r="K215" s="5"/>
      <c r="L215" s="5"/>
      <c r="M215" s="5"/>
      <c r="N215" s="5"/>
      <c r="O215" s="5"/>
      <c r="P215" s="3"/>
      <c r="Q215" s="14"/>
      <c r="R215" s="14"/>
      <c r="S215" s="14"/>
      <c r="T215" s="3"/>
      <c r="U215" s="4"/>
      <c r="V215" s="4"/>
      <c r="W215" s="4"/>
      <c r="X215" s="4"/>
      <c r="Y215" s="4"/>
      <c r="Z215" s="3"/>
      <c r="AB215" s="14"/>
      <c r="AC215" s="14"/>
      <c r="AD215" s="14"/>
      <c r="AE215" s="33"/>
      <c r="AG215" s="3"/>
    </row>
    <row r="216" spans="1:33" s="7" customFormat="1" x14ac:dyDescent="0.2">
      <c r="A216" s="5"/>
      <c r="B216" s="5"/>
      <c r="C216" s="5"/>
      <c r="D216" s="6"/>
      <c r="E216" s="5"/>
      <c r="F216" s="3"/>
      <c r="G216" s="5"/>
      <c r="H216" s="5"/>
      <c r="I216" s="5"/>
      <c r="J216" s="3"/>
      <c r="K216" s="5"/>
      <c r="L216" s="5"/>
      <c r="M216" s="5"/>
      <c r="N216" s="5"/>
      <c r="O216" s="5"/>
      <c r="P216" s="3"/>
      <c r="Q216" s="14"/>
      <c r="R216" s="14"/>
      <c r="S216" s="14"/>
      <c r="T216" s="3"/>
      <c r="U216" s="4"/>
      <c r="V216" s="4"/>
      <c r="W216" s="4"/>
      <c r="X216" s="4"/>
      <c r="Y216" s="4"/>
      <c r="Z216" s="3"/>
      <c r="AB216" s="14"/>
      <c r="AC216" s="14"/>
      <c r="AD216" s="14"/>
      <c r="AE216" s="33"/>
      <c r="AG216" s="3"/>
    </row>
    <row r="217" spans="1:33" s="7" customFormat="1" x14ac:dyDescent="0.2">
      <c r="A217" s="5"/>
      <c r="B217" s="5"/>
      <c r="C217" s="5"/>
      <c r="D217" s="6"/>
      <c r="E217" s="5"/>
      <c r="F217" s="3"/>
      <c r="G217" s="5"/>
      <c r="H217" s="5"/>
      <c r="I217" s="5"/>
      <c r="J217" s="3"/>
      <c r="K217" s="5"/>
      <c r="L217" s="5"/>
      <c r="M217" s="5"/>
      <c r="N217" s="5"/>
      <c r="O217" s="5"/>
      <c r="P217" s="3"/>
      <c r="Q217" s="14"/>
      <c r="R217" s="14"/>
      <c r="S217" s="14"/>
      <c r="T217" s="3"/>
      <c r="U217" s="4"/>
      <c r="V217" s="4"/>
      <c r="W217" s="4"/>
      <c r="X217" s="4"/>
      <c r="Y217" s="4"/>
      <c r="Z217" s="3"/>
      <c r="AB217" s="14"/>
      <c r="AC217" s="14"/>
      <c r="AD217" s="14"/>
      <c r="AE217" s="33"/>
      <c r="AG217" s="3"/>
    </row>
    <row r="218" spans="1:33" s="7" customFormat="1" x14ac:dyDescent="0.2">
      <c r="A218" s="5"/>
      <c r="B218" s="5"/>
      <c r="C218" s="5"/>
      <c r="D218" s="6"/>
      <c r="E218" s="5"/>
      <c r="F218" s="3"/>
      <c r="G218" s="5"/>
      <c r="H218" s="5"/>
      <c r="I218" s="5"/>
      <c r="J218" s="3"/>
      <c r="K218" s="5"/>
      <c r="L218" s="5"/>
      <c r="M218" s="5"/>
      <c r="N218" s="5"/>
      <c r="O218" s="5"/>
      <c r="P218" s="3"/>
      <c r="Q218" s="14"/>
      <c r="R218" s="14"/>
      <c r="S218" s="14"/>
      <c r="T218" s="3"/>
      <c r="U218" s="4"/>
      <c r="V218" s="4"/>
      <c r="W218" s="4"/>
      <c r="X218" s="4"/>
      <c r="Y218" s="4"/>
      <c r="Z218" s="3"/>
      <c r="AB218" s="14"/>
      <c r="AC218" s="14"/>
      <c r="AD218" s="14"/>
      <c r="AE218" s="33"/>
      <c r="AG218" s="3"/>
    </row>
    <row r="219" spans="1:33" s="7" customFormat="1" x14ac:dyDescent="0.2">
      <c r="A219" s="5"/>
      <c r="B219" s="5"/>
      <c r="C219" s="5"/>
      <c r="D219" s="6"/>
      <c r="E219" s="5"/>
      <c r="F219" s="3"/>
      <c r="G219" s="5"/>
      <c r="H219" s="5"/>
      <c r="I219" s="5"/>
      <c r="J219" s="3"/>
      <c r="K219" s="5"/>
      <c r="L219" s="5"/>
      <c r="M219" s="5"/>
      <c r="N219" s="5"/>
      <c r="O219" s="5"/>
      <c r="P219" s="3"/>
      <c r="Q219" s="14"/>
      <c r="R219" s="14"/>
      <c r="S219" s="14"/>
      <c r="T219" s="3"/>
      <c r="U219" s="4"/>
      <c r="V219" s="4"/>
      <c r="W219" s="4"/>
      <c r="X219" s="4"/>
      <c r="Y219" s="4"/>
      <c r="Z219" s="3"/>
      <c r="AB219" s="14"/>
      <c r="AC219" s="14"/>
      <c r="AD219" s="14"/>
      <c r="AE219" s="33"/>
      <c r="AG219" s="3"/>
    </row>
    <row r="220" spans="1:33" s="7" customFormat="1" x14ac:dyDescent="0.2">
      <c r="A220" s="5"/>
      <c r="B220" s="5"/>
      <c r="C220" s="5"/>
      <c r="D220" s="6"/>
      <c r="E220" s="5"/>
      <c r="F220" s="3"/>
      <c r="G220" s="5"/>
      <c r="H220" s="5"/>
      <c r="I220" s="5"/>
      <c r="J220" s="3"/>
      <c r="K220" s="5"/>
      <c r="L220" s="5"/>
      <c r="M220" s="5"/>
      <c r="N220" s="5"/>
      <c r="O220" s="5"/>
      <c r="P220" s="3"/>
      <c r="Q220" s="14"/>
      <c r="R220" s="14"/>
      <c r="S220" s="14"/>
      <c r="T220" s="3"/>
      <c r="U220" s="4"/>
      <c r="V220" s="4"/>
      <c r="W220" s="4"/>
      <c r="X220" s="4"/>
      <c r="Y220" s="4"/>
      <c r="Z220" s="3"/>
      <c r="AB220" s="14"/>
      <c r="AC220" s="14"/>
      <c r="AD220" s="14"/>
      <c r="AE220" s="33"/>
      <c r="AG220" s="3"/>
    </row>
    <row r="221" spans="1:33" s="7" customFormat="1" x14ac:dyDescent="0.2">
      <c r="A221" s="5"/>
      <c r="B221" s="5"/>
      <c r="C221" s="5"/>
      <c r="D221" s="6"/>
      <c r="E221" s="5"/>
      <c r="F221" s="3"/>
      <c r="G221" s="5"/>
      <c r="H221" s="5"/>
      <c r="I221" s="5"/>
      <c r="J221" s="3"/>
      <c r="K221" s="5"/>
      <c r="L221" s="5"/>
      <c r="M221" s="5"/>
      <c r="N221" s="5"/>
      <c r="O221" s="5"/>
      <c r="P221" s="3"/>
      <c r="Q221" s="14"/>
      <c r="R221" s="14"/>
      <c r="S221" s="14"/>
      <c r="T221" s="3"/>
      <c r="U221" s="4"/>
      <c r="V221" s="4"/>
      <c r="W221" s="4"/>
      <c r="X221" s="4"/>
      <c r="Y221" s="4"/>
      <c r="Z221" s="3"/>
      <c r="AB221" s="14"/>
      <c r="AC221" s="14"/>
      <c r="AD221" s="14"/>
      <c r="AE221" s="33"/>
      <c r="AG221" s="3"/>
    </row>
    <row r="222" spans="1:33" s="7" customFormat="1" x14ac:dyDescent="0.2">
      <c r="A222" s="5"/>
      <c r="B222" s="5"/>
      <c r="C222" s="5"/>
      <c r="D222" s="6"/>
      <c r="E222" s="5"/>
      <c r="F222" s="3"/>
      <c r="G222" s="5"/>
      <c r="H222" s="5"/>
      <c r="I222" s="5"/>
      <c r="J222" s="3"/>
      <c r="K222" s="5"/>
      <c r="L222" s="5"/>
      <c r="M222" s="5"/>
      <c r="N222" s="5"/>
      <c r="O222" s="5"/>
      <c r="P222" s="3"/>
      <c r="Q222" s="14"/>
      <c r="R222" s="14"/>
      <c r="S222" s="14"/>
      <c r="T222" s="3"/>
      <c r="U222" s="4"/>
      <c r="V222" s="4"/>
      <c r="W222" s="4"/>
      <c r="X222" s="4"/>
      <c r="Y222" s="4"/>
      <c r="Z222" s="3"/>
      <c r="AB222" s="14"/>
      <c r="AC222" s="14"/>
      <c r="AD222" s="14"/>
      <c r="AE222" s="33"/>
      <c r="AG222" s="3"/>
    </row>
    <row r="223" spans="1:33" s="7" customFormat="1" x14ac:dyDescent="0.2">
      <c r="A223" s="5"/>
      <c r="B223" s="5"/>
      <c r="C223" s="5"/>
      <c r="D223" s="6"/>
      <c r="E223" s="5"/>
      <c r="F223" s="3"/>
      <c r="G223" s="5"/>
      <c r="H223" s="5"/>
      <c r="I223" s="5"/>
      <c r="J223" s="3"/>
      <c r="K223" s="5"/>
      <c r="L223" s="5"/>
      <c r="M223" s="5"/>
      <c r="N223" s="5"/>
      <c r="O223" s="5"/>
      <c r="P223" s="3"/>
      <c r="Q223" s="14"/>
      <c r="R223" s="14"/>
      <c r="S223" s="14"/>
      <c r="T223" s="3"/>
      <c r="U223" s="4"/>
      <c r="V223" s="4"/>
      <c r="W223" s="4"/>
      <c r="X223" s="4"/>
      <c r="Y223" s="4"/>
      <c r="Z223" s="3"/>
      <c r="AB223" s="14"/>
      <c r="AC223" s="14"/>
      <c r="AD223" s="14"/>
      <c r="AE223" s="33"/>
      <c r="AG223" s="3"/>
    </row>
    <row r="224" spans="1:33" s="7" customFormat="1" x14ac:dyDescent="0.2">
      <c r="A224" s="5"/>
      <c r="B224" s="5"/>
      <c r="C224" s="5"/>
      <c r="D224" s="6"/>
      <c r="E224" s="5"/>
      <c r="F224" s="3"/>
      <c r="G224" s="5"/>
      <c r="H224" s="5"/>
      <c r="I224" s="5"/>
      <c r="J224" s="3"/>
      <c r="K224" s="5"/>
      <c r="L224" s="5"/>
      <c r="M224" s="5"/>
      <c r="N224" s="5"/>
      <c r="O224" s="5"/>
      <c r="P224" s="3"/>
      <c r="Q224" s="14"/>
      <c r="R224" s="14"/>
      <c r="S224" s="14"/>
      <c r="T224" s="3"/>
      <c r="U224" s="4"/>
      <c r="V224" s="4"/>
      <c r="W224" s="4"/>
      <c r="X224" s="4"/>
      <c r="Y224" s="4"/>
      <c r="Z224" s="3"/>
      <c r="AB224" s="14"/>
      <c r="AC224" s="14"/>
      <c r="AD224" s="14"/>
      <c r="AE224" s="33"/>
      <c r="AG224" s="3"/>
    </row>
    <row r="225" spans="1:33" s="7" customFormat="1" x14ac:dyDescent="0.2">
      <c r="A225" s="5"/>
      <c r="B225" s="5"/>
      <c r="C225" s="5"/>
      <c r="D225" s="6"/>
      <c r="E225" s="5"/>
      <c r="F225" s="3"/>
      <c r="G225" s="5"/>
      <c r="H225" s="5"/>
      <c r="I225" s="5"/>
      <c r="J225" s="3"/>
      <c r="K225" s="5"/>
      <c r="L225" s="5"/>
      <c r="M225" s="5"/>
      <c r="N225" s="5"/>
      <c r="O225" s="5"/>
      <c r="P225" s="3"/>
      <c r="Q225" s="14"/>
      <c r="R225" s="14"/>
      <c r="S225" s="14"/>
      <c r="T225" s="3"/>
      <c r="U225" s="4"/>
      <c r="V225" s="4"/>
      <c r="W225" s="4"/>
      <c r="X225" s="4"/>
      <c r="Y225" s="4"/>
      <c r="Z225" s="3"/>
      <c r="AB225" s="14"/>
      <c r="AC225" s="14"/>
      <c r="AD225" s="14"/>
      <c r="AE225" s="33"/>
      <c r="AG225" s="3"/>
    </row>
    <row r="226" spans="1:33" s="7" customFormat="1" x14ac:dyDescent="0.2">
      <c r="A226" s="5"/>
      <c r="B226" s="5"/>
      <c r="C226" s="5"/>
      <c r="D226" s="6"/>
      <c r="E226" s="5"/>
      <c r="F226" s="3"/>
      <c r="G226" s="5"/>
      <c r="H226" s="5"/>
      <c r="I226" s="5"/>
      <c r="J226" s="3"/>
      <c r="K226" s="5"/>
      <c r="L226" s="5"/>
      <c r="M226" s="5"/>
      <c r="N226" s="5"/>
      <c r="O226" s="5"/>
      <c r="P226" s="3"/>
      <c r="Q226" s="14"/>
      <c r="R226" s="14"/>
      <c r="S226" s="14"/>
      <c r="T226" s="3"/>
      <c r="U226" s="4"/>
      <c r="V226" s="4"/>
      <c r="W226" s="4"/>
      <c r="X226" s="4"/>
      <c r="Y226" s="4"/>
      <c r="Z226" s="3"/>
      <c r="AB226" s="14"/>
      <c r="AC226" s="14"/>
      <c r="AD226" s="14"/>
      <c r="AE226" s="33"/>
      <c r="AG226" s="3"/>
    </row>
    <row r="227" spans="1:33" s="7" customFormat="1" x14ac:dyDescent="0.2">
      <c r="A227" s="5"/>
      <c r="B227" s="5"/>
      <c r="C227" s="5"/>
      <c r="D227" s="6"/>
      <c r="E227" s="5"/>
      <c r="F227" s="3"/>
      <c r="G227" s="5"/>
      <c r="H227" s="5"/>
      <c r="I227" s="5"/>
      <c r="J227" s="3"/>
      <c r="K227" s="5"/>
      <c r="L227" s="5"/>
      <c r="M227" s="5"/>
      <c r="N227" s="5"/>
      <c r="O227" s="5"/>
      <c r="P227" s="3"/>
      <c r="Q227" s="14"/>
      <c r="R227" s="14"/>
      <c r="S227" s="14"/>
      <c r="T227" s="3"/>
      <c r="U227" s="4"/>
      <c r="V227" s="4"/>
      <c r="W227" s="4"/>
      <c r="X227" s="4"/>
      <c r="Y227" s="4"/>
      <c r="Z227" s="3"/>
      <c r="AB227" s="14"/>
      <c r="AC227" s="14"/>
      <c r="AD227" s="14"/>
      <c r="AE227" s="33"/>
      <c r="AG227" s="3"/>
    </row>
    <row r="228" spans="1:33" s="7" customFormat="1" x14ac:dyDescent="0.2">
      <c r="A228" s="5"/>
      <c r="B228" s="5"/>
      <c r="C228" s="5"/>
      <c r="D228" s="6"/>
      <c r="E228" s="5"/>
      <c r="F228" s="3"/>
      <c r="G228" s="5"/>
      <c r="H228" s="5"/>
      <c r="I228" s="5"/>
      <c r="J228" s="3"/>
      <c r="K228" s="5"/>
      <c r="L228" s="5"/>
      <c r="M228" s="5"/>
      <c r="N228" s="5"/>
      <c r="O228" s="5"/>
      <c r="P228" s="3"/>
      <c r="Q228" s="14"/>
      <c r="R228" s="14"/>
      <c r="S228" s="14"/>
      <c r="T228" s="3"/>
      <c r="U228" s="4"/>
      <c r="V228" s="4"/>
      <c r="W228" s="4"/>
      <c r="X228" s="4"/>
      <c r="Y228" s="4"/>
      <c r="Z228" s="3"/>
      <c r="AB228" s="14"/>
      <c r="AC228" s="14"/>
      <c r="AD228" s="14"/>
      <c r="AE228" s="33"/>
      <c r="AG228" s="3"/>
    </row>
    <row r="229" spans="1:33" s="7" customFormat="1" x14ac:dyDescent="0.2">
      <c r="A229" s="5"/>
      <c r="B229" s="5"/>
      <c r="C229" s="5"/>
      <c r="D229" s="6"/>
      <c r="E229" s="5"/>
      <c r="F229" s="3"/>
      <c r="G229" s="5"/>
      <c r="H229" s="5"/>
      <c r="I229" s="5"/>
      <c r="J229" s="3"/>
      <c r="K229" s="5"/>
      <c r="L229" s="5"/>
      <c r="M229" s="5"/>
      <c r="N229" s="5"/>
      <c r="O229" s="5"/>
      <c r="P229" s="3"/>
      <c r="Q229" s="14"/>
      <c r="R229" s="14"/>
      <c r="S229" s="14"/>
      <c r="T229" s="3"/>
      <c r="U229" s="4"/>
      <c r="V229" s="4"/>
      <c r="W229" s="4"/>
      <c r="X229" s="4"/>
      <c r="Y229" s="4"/>
      <c r="Z229" s="3"/>
      <c r="AB229" s="14"/>
      <c r="AC229" s="14"/>
      <c r="AD229" s="14"/>
      <c r="AE229" s="33"/>
      <c r="AG229" s="3"/>
    </row>
    <row r="230" spans="1:33" s="7" customFormat="1" x14ac:dyDescent="0.2">
      <c r="A230" s="5"/>
      <c r="B230" s="5"/>
      <c r="C230" s="5"/>
      <c r="D230" s="6"/>
      <c r="E230" s="5"/>
      <c r="F230" s="3"/>
      <c r="G230" s="5"/>
      <c r="H230" s="5"/>
      <c r="I230" s="5"/>
      <c r="J230" s="3"/>
      <c r="K230" s="5"/>
      <c r="L230" s="5"/>
      <c r="M230" s="5"/>
      <c r="N230" s="5"/>
      <c r="O230" s="5"/>
      <c r="P230" s="3"/>
      <c r="Q230" s="14"/>
      <c r="R230" s="14"/>
      <c r="S230" s="14"/>
      <c r="T230" s="3"/>
      <c r="U230" s="4"/>
      <c r="V230" s="4"/>
      <c r="W230" s="4"/>
      <c r="X230" s="4"/>
      <c r="Y230" s="4"/>
      <c r="Z230" s="3"/>
      <c r="AB230" s="14"/>
      <c r="AC230" s="14"/>
      <c r="AD230" s="14"/>
      <c r="AE230" s="33"/>
      <c r="AG230" s="3"/>
    </row>
    <row r="231" spans="1:33" s="7" customFormat="1" x14ac:dyDescent="0.2">
      <c r="A231" s="5"/>
      <c r="B231" s="5"/>
      <c r="C231" s="5"/>
      <c r="D231" s="6"/>
      <c r="E231" s="5"/>
      <c r="F231" s="3"/>
      <c r="G231" s="5"/>
      <c r="H231" s="5"/>
      <c r="I231" s="5"/>
      <c r="J231" s="3"/>
      <c r="K231" s="5"/>
      <c r="L231" s="5"/>
      <c r="M231" s="5"/>
      <c r="N231" s="5"/>
      <c r="O231" s="5"/>
      <c r="P231" s="3"/>
      <c r="Q231" s="14"/>
      <c r="R231" s="14"/>
      <c r="S231" s="14"/>
      <c r="T231" s="3"/>
      <c r="U231" s="4"/>
      <c r="V231" s="4"/>
      <c r="W231" s="4"/>
      <c r="X231" s="4"/>
      <c r="Y231" s="4"/>
      <c r="Z231" s="3"/>
      <c r="AB231" s="14"/>
      <c r="AC231" s="14"/>
      <c r="AD231" s="14"/>
      <c r="AE231" s="33"/>
      <c r="AG231" s="3"/>
    </row>
    <row r="232" spans="1:33" s="7" customFormat="1" x14ac:dyDescent="0.2">
      <c r="A232" s="5"/>
      <c r="B232" s="5"/>
      <c r="C232" s="5"/>
      <c r="D232" s="6"/>
      <c r="E232" s="5"/>
      <c r="F232" s="3"/>
      <c r="G232" s="5"/>
      <c r="H232" s="5"/>
      <c r="I232" s="5"/>
      <c r="J232" s="3"/>
      <c r="K232" s="5"/>
      <c r="L232" s="5"/>
      <c r="M232" s="5"/>
      <c r="N232" s="5"/>
      <c r="O232" s="5"/>
      <c r="P232" s="3"/>
      <c r="Q232" s="14"/>
      <c r="R232" s="14"/>
      <c r="S232" s="14"/>
      <c r="T232" s="3"/>
      <c r="U232" s="4"/>
      <c r="V232" s="4"/>
      <c r="W232" s="4"/>
      <c r="X232" s="4"/>
      <c r="Y232" s="4"/>
      <c r="Z232" s="3"/>
      <c r="AB232" s="14"/>
      <c r="AC232" s="14"/>
      <c r="AD232" s="14"/>
      <c r="AE232" s="33"/>
      <c r="AG232" s="3"/>
    </row>
    <row r="233" spans="1:33" s="7" customFormat="1" x14ac:dyDescent="0.2">
      <c r="A233" s="5"/>
      <c r="B233" s="5"/>
      <c r="C233" s="5"/>
      <c r="D233" s="6"/>
      <c r="E233" s="5"/>
      <c r="F233" s="3"/>
      <c r="G233" s="5"/>
      <c r="H233" s="5"/>
      <c r="I233" s="5"/>
      <c r="J233" s="3"/>
      <c r="K233" s="5"/>
      <c r="L233" s="5"/>
      <c r="M233" s="5"/>
      <c r="N233" s="5"/>
      <c r="O233" s="5"/>
      <c r="P233" s="3"/>
      <c r="Q233" s="14"/>
      <c r="R233" s="14"/>
      <c r="S233" s="14"/>
      <c r="T233" s="3"/>
      <c r="U233" s="4"/>
      <c r="V233" s="4"/>
      <c r="W233" s="4"/>
      <c r="X233" s="4"/>
      <c r="Y233" s="4"/>
      <c r="Z233" s="3"/>
      <c r="AB233" s="14"/>
      <c r="AC233" s="14"/>
      <c r="AD233" s="14"/>
      <c r="AE233" s="33"/>
      <c r="AG233" s="3"/>
    </row>
    <row r="234" spans="1:33" s="7" customFormat="1" x14ac:dyDescent="0.2">
      <c r="A234" s="5"/>
      <c r="B234" s="5"/>
      <c r="C234" s="5"/>
      <c r="D234" s="6"/>
      <c r="E234" s="5"/>
      <c r="F234" s="3"/>
      <c r="G234" s="5"/>
      <c r="H234" s="5"/>
      <c r="I234" s="5"/>
      <c r="J234" s="3"/>
      <c r="K234" s="5"/>
      <c r="L234" s="5"/>
      <c r="M234" s="5"/>
      <c r="N234" s="5"/>
      <c r="O234" s="5"/>
      <c r="P234" s="3"/>
      <c r="Q234" s="14"/>
      <c r="R234" s="14"/>
      <c r="S234" s="14"/>
      <c r="T234" s="3"/>
      <c r="U234" s="4"/>
      <c r="V234" s="4"/>
      <c r="W234" s="4"/>
      <c r="X234" s="4"/>
      <c r="Y234" s="4"/>
      <c r="Z234" s="3"/>
      <c r="AB234" s="14"/>
      <c r="AC234" s="14"/>
      <c r="AD234" s="14"/>
      <c r="AE234" s="33"/>
      <c r="AG234" s="3"/>
    </row>
    <row r="235" spans="1:33" s="7" customFormat="1" x14ac:dyDescent="0.2">
      <c r="A235" s="5"/>
      <c r="B235" s="5"/>
      <c r="C235" s="5"/>
      <c r="D235" s="6"/>
      <c r="E235" s="5"/>
      <c r="F235" s="3"/>
      <c r="G235" s="5"/>
      <c r="H235" s="5"/>
      <c r="I235" s="5"/>
      <c r="J235" s="3"/>
      <c r="K235" s="5"/>
      <c r="L235" s="5"/>
      <c r="M235" s="5"/>
      <c r="N235" s="5"/>
      <c r="O235" s="5"/>
      <c r="P235" s="3"/>
      <c r="Q235" s="14"/>
      <c r="R235" s="14"/>
      <c r="S235" s="14"/>
      <c r="T235" s="3"/>
      <c r="U235" s="4"/>
      <c r="V235" s="4"/>
      <c r="W235" s="4"/>
      <c r="X235" s="4"/>
      <c r="Y235" s="4"/>
      <c r="Z235" s="3"/>
      <c r="AB235" s="14"/>
      <c r="AC235" s="14"/>
      <c r="AD235" s="14"/>
      <c r="AE235" s="33"/>
      <c r="AG235" s="3"/>
    </row>
    <row r="236" spans="1:33" s="7" customFormat="1" x14ac:dyDescent="0.2">
      <c r="A236" s="5"/>
      <c r="B236" s="5"/>
      <c r="C236" s="5"/>
      <c r="D236" s="6"/>
      <c r="E236" s="5"/>
      <c r="F236" s="3"/>
      <c r="G236" s="5"/>
      <c r="H236" s="5"/>
      <c r="I236" s="5"/>
      <c r="J236" s="3"/>
      <c r="K236" s="5"/>
      <c r="L236" s="5"/>
      <c r="M236" s="5"/>
      <c r="N236" s="5"/>
      <c r="O236" s="5"/>
      <c r="P236" s="3"/>
      <c r="Q236" s="14"/>
      <c r="R236" s="14"/>
      <c r="S236" s="14"/>
      <c r="T236" s="3"/>
      <c r="U236" s="4"/>
      <c r="V236" s="4"/>
      <c r="W236" s="4"/>
      <c r="X236" s="4"/>
      <c r="Y236" s="4"/>
      <c r="Z236" s="3"/>
      <c r="AB236" s="14"/>
      <c r="AC236" s="14"/>
      <c r="AD236" s="14"/>
      <c r="AE236" s="33"/>
      <c r="AG236" s="3"/>
    </row>
    <row r="237" spans="1:33" s="7" customFormat="1" x14ac:dyDescent="0.2">
      <c r="A237" s="5"/>
      <c r="B237" s="5"/>
      <c r="C237" s="5"/>
      <c r="D237" s="6"/>
      <c r="E237" s="5"/>
      <c r="F237" s="3"/>
      <c r="G237" s="5"/>
      <c r="H237" s="5"/>
      <c r="I237" s="5"/>
      <c r="J237" s="3"/>
      <c r="K237" s="5"/>
      <c r="L237" s="5"/>
      <c r="M237" s="5"/>
      <c r="N237" s="5"/>
      <c r="O237" s="5"/>
      <c r="P237" s="3"/>
      <c r="Q237" s="14"/>
      <c r="R237" s="14"/>
      <c r="S237" s="14"/>
      <c r="T237" s="3"/>
      <c r="U237" s="4"/>
      <c r="V237" s="4"/>
      <c r="W237" s="4"/>
      <c r="X237" s="4"/>
      <c r="Y237" s="4"/>
      <c r="Z237" s="3"/>
      <c r="AB237" s="14"/>
      <c r="AC237" s="14"/>
      <c r="AD237" s="14"/>
      <c r="AE237" s="33"/>
      <c r="AG237" s="3"/>
    </row>
    <row r="238" spans="1:33" s="7" customFormat="1" x14ac:dyDescent="0.2">
      <c r="A238" s="5"/>
      <c r="B238" s="5"/>
      <c r="C238" s="5"/>
      <c r="D238" s="6"/>
      <c r="E238" s="5"/>
      <c r="F238" s="3"/>
      <c r="G238" s="5"/>
      <c r="H238" s="5"/>
      <c r="I238" s="5"/>
      <c r="J238" s="3"/>
      <c r="K238" s="5"/>
      <c r="L238" s="5"/>
      <c r="M238" s="5"/>
      <c r="N238" s="5"/>
      <c r="O238" s="5"/>
      <c r="P238" s="3"/>
      <c r="Q238" s="14"/>
      <c r="R238" s="14"/>
      <c r="S238" s="14"/>
      <c r="T238" s="3"/>
      <c r="U238" s="4"/>
      <c r="V238" s="4"/>
      <c r="W238" s="4"/>
      <c r="X238" s="4"/>
      <c r="Y238" s="4"/>
      <c r="Z238" s="3"/>
      <c r="AB238" s="14"/>
      <c r="AC238" s="14"/>
      <c r="AD238" s="14"/>
      <c r="AE238" s="33"/>
      <c r="AG238" s="3"/>
    </row>
    <row r="239" spans="1:33" s="7" customFormat="1" x14ac:dyDescent="0.2">
      <c r="A239" s="5"/>
      <c r="B239" s="5"/>
      <c r="C239" s="5"/>
      <c r="D239" s="6"/>
      <c r="E239" s="5"/>
      <c r="F239" s="3"/>
      <c r="G239" s="5"/>
      <c r="H239" s="5"/>
      <c r="I239" s="5"/>
      <c r="J239" s="3"/>
      <c r="K239" s="5"/>
      <c r="L239" s="5"/>
      <c r="M239" s="5"/>
      <c r="N239" s="5"/>
      <c r="O239" s="5"/>
      <c r="P239" s="3"/>
      <c r="Q239" s="14"/>
      <c r="R239" s="14"/>
      <c r="S239" s="14"/>
      <c r="T239" s="3"/>
      <c r="U239" s="4"/>
      <c r="V239" s="4"/>
      <c r="W239" s="4"/>
      <c r="X239" s="4"/>
      <c r="Y239" s="4"/>
      <c r="Z239" s="3"/>
      <c r="AB239" s="14"/>
      <c r="AC239" s="14"/>
      <c r="AD239" s="14"/>
      <c r="AE239" s="33"/>
      <c r="AG239" s="3"/>
    </row>
    <row r="240" spans="1:33" s="7" customFormat="1" x14ac:dyDescent="0.2">
      <c r="A240" s="5"/>
      <c r="B240" s="5"/>
      <c r="C240" s="5"/>
      <c r="D240" s="6"/>
      <c r="E240" s="5"/>
      <c r="F240" s="3"/>
      <c r="G240" s="5"/>
      <c r="H240" s="5"/>
      <c r="I240" s="5"/>
      <c r="J240" s="3"/>
      <c r="K240" s="5"/>
      <c r="L240" s="5"/>
      <c r="M240" s="5"/>
      <c r="N240" s="5"/>
      <c r="O240" s="5"/>
      <c r="P240" s="3"/>
      <c r="Q240" s="14"/>
      <c r="R240" s="14"/>
      <c r="S240" s="14"/>
      <c r="T240" s="3"/>
      <c r="U240" s="4"/>
      <c r="V240" s="4"/>
      <c r="W240" s="4"/>
      <c r="X240" s="4"/>
      <c r="Y240" s="4"/>
      <c r="Z240" s="3"/>
      <c r="AB240" s="14"/>
      <c r="AC240" s="14"/>
      <c r="AD240" s="14"/>
      <c r="AE240" s="33"/>
      <c r="AG240" s="3"/>
    </row>
    <row r="241" spans="1:33" s="7" customFormat="1" x14ac:dyDescent="0.2">
      <c r="A241" s="5"/>
      <c r="B241" s="5"/>
      <c r="C241" s="5"/>
      <c r="D241" s="6"/>
      <c r="E241" s="5"/>
      <c r="F241" s="3"/>
      <c r="G241" s="5"/>
      <c r="H241" s="5"/>
      <c r="I241" s="5"/>
      <c r="J241" s="3"/>
      <c r="K241" s="5"/>
      <c r="L241" s="5"/>
      <c r="M241" s="5"/>
      <c r="N241" s="5"/>
      <c r="O241" s="5"/>
      <c r="P241" s="3"/>
      <c r="Q241" s="14"/>
      <c r="R241" s="14"/>
      <c r="S241" s="14"/>
      <c r="T241" s="3"/>
      <c r="U241" s="4"/>
      <c r="V241" s="4"/>
      <c r="W241" s="4"/>
      <c r="X241" s="4"/>
      <c r="Y241" s="4"/>
      <c r="Z241" s="3"/>
      <c r="AB241" s="14"/>
      <c r="AC241" s="14"/>
      <c r="AD241" s="14"/>
      <c r="AE241" s="33"/>
      <c r="AG241" s="3"/>
    </row>
    <row r="242" spans="1:33" s="7" customFormat="1" x14ac:dyDescent="0.2">
      <c r="A242" s="5"/>
      <c r="B242" s="5"/>
      <c r="C242" s="5"/>
      <c r="D242" s="6"/>
      <c r="E242" s="5"/>
      <c r="F242" s="3"/>
      <c r="G242" s="5"/>
      <c r="H242" s="5"/>
      <c r="I242" s="5"/>
      <c r="J242" s="3"/>
      <c r="K242" s="5"/>
      <c r="L242" s="5"/>
      <c r="M242" s="5"/>
      <c r="N242" s="5"/>
      <c r="O242" s="5"/>
      <c r="P242" s="3"/>
      <c r="Q242" s="14"/>
      <c r="R242" s="14"/>
      <c r="S242" s="14"/>
      <c r="T242" s="3"/>
      <c r="U242" s="4"/>
      <c r="V242" s="4"/>
      <c r="W242" s="4"/>
      <c r="X242" s="4"/>
      <c r="Y242" s="4"/>
      <c r="Z242" s="3"/>
      <c r="AB242" s="14"/>
      <c r="AC242" s="14"/>
      <c r="AD242" s="14"/>
      <c r="AE242" s="33"/>
      <c r="AG242" s="3"/>
    </row>
    <row r="243" spans="1:33" s="7" customFormat="1" x14ac:dyDescent="0.2">
      <c r="A243" s="5"/>
      <c r="B243" s="5"/>
      <c r="C243" s="5"/>
      <c r="D243" s="6"/>
      <c r="E243" s="5"/>
      <c r="F243" s="3"/>
      <c r="G243" s="5"/>
      <c r="H243" s="5"/>
      <c r="I243" s="5"/>
      <c r="J243" s="3"/>
      <c r="K243" s="5"/>
      <c r="L243" s="5"/>
      <c r="M243" s="5"/>
      <c r="N243" s="5"/>
      <c r="O243" s="5"/>
      <c r="P243" s="3"/>
      <c r="Q243" s="14"/>
      <c r="R243" s="14"/>
      <c r="S243" s="14"/>
      <c r="T243" s="3"/>
      <c r="U243" s="4"/>
      <c r="V243" s="4"/>
      <c r="W243" s="4"/>
      <c r="X243" s="4"/>
      <c r="Y243" s="4"/>
      <c r="Z243" s="3"/>
      <c r="AB243" s="14"/>
      <c r="AC243" s="14"/>
      <c r="AD243" s="14"/>
      <c r="AE243" s="33"/>
      <c r="AG243" s="3"/>
    </row>
    <row r="244" spans="1:33" s="7" customFormat="1" x14ac:dyDescent="0.2">
      <c r="A244" s="5"/>
      <c r="B244" s="5"/>
      <c r="C244" s="5"/>
      <c r="D244" s="6"/>
      <c r="E244" s="5"/>
      <c r="F244" s="3"/>
      <c r="G244" s="5"/>
      <c r="H244" s="5"/>
      <c r="I244" s="5"/>
      <c r="J244" s="3"/>
      <c r="K244" s="5"/>
      <c r="L244" s="5"/>
      <c r="M244" s="5"/>
      <c r="N244" s="5"/>
      <c r="O244" s="5"/>
      <c r="P244" s="3"/>
      <c r="Q244" s="14"/>
      <c r="R244" s="14"/>
      <c r="S244" s="14"/>
      <c r="T244" s="3"/>
      <c r="U244" s="4"/>
      <c r="V244" s="4"/>
      <c r="W244" s="4"/>
      <c r="X244" s="4"/>
      <c r="Y244" s="4"/>
      <c r="Z244" s="3"/>
      <c r="AB244" s="14"/>
      <c r="AC244" s="14"/>
      <c r="AD244" s="14"/>
      <c r="AE244" s="33"/>
      <c r="AG244" s="3"/>
    </row>
    <row r="245" spans="1:33" s="7" customFormat="1" x14ac:dyDescent="0.2">
      <c r="A245" s="5"/>
      <c r="B245" s="5"/>
      <c r="C245" s="5"/>
      <c r="D245" s="6"/>
      <c r="E245" s="5"/>
      <c r="F245" s="3"/>
      <c r="G245" s="5"/>
      <c r="H245" s="5"/>
      <c r="I245" s="5"/>
      <c r="J245" s="3"/>
      <c r="K245" s="5"/>
      <c r="L245" s="5"/>
      <c r="M245" s="5"/>
      <c r="N245" s="5"/>
      <c r="O245" s="5"/>
      <c r="P245" s="3"/>
      <c r="Q245" s="14"/>
      <c r="R245" s="14"/>
      <c r="S245" s="14"/>
      <c r="T245" s="3"/>
      <c r="U245" s="4"/>
      <c r="V245" s="4"/>
      <c r="W245" s="4"/>
      <c r="X245" s="4"/>
      <c r="Y245" s="4"/>
      <c r="Z245" s="3"/>
      <c r="AB245" s="14"/>
      <c r="AC245" s="14"/>
      <c r="AD245" s="14"/>
      <c r="AE245" s="33"/>
      <c r="AG245" s="3"/>
    </row>
    <row r="246" spans="1:33" s="7" customFormat="1" x14ac:dyDescent="0.2">
      <c r="A246" s="5"/>
      <c r="B246" s="5"/>
      <c r="C246" s="5"/>
      <c r="D246" s="6"/>
      <c r="E246" s="5"/>
      <c r="F246" s="3"/>
      <c r="G246" s="5"/>
      <c r="H246" s="5"/>
      <c r="I246" s="5"/>
      <c r="J246" s="3"/>
      <c r="K246" s="5"/>
      <c r="L246" s="5"/>
      <c r="M246" s="5"/>
      <c r="N246" s="5"/>
      <c r="O246" s="5"/>
      <c r="P246" s="3"/>
      <c r="Q246" s="14"/>
      <c r="R246" s="14"/>
      <c r="S246" s="14"/>
      <c r="T246" s="3"/>
      <c r="U246" s="4"/>
      <c r="V246" s="4"/>
      <c r="W246" s="4"/>
      <c r="X246" s="4"/>
      <c r="Y246" s="4"/>
      <c r="Z246" s="3"/>
      <c r="AB246" s="14"/>
      <c r="AC246" s="14"/>
      <c r="AD246" s="14"/>
      <c r="AE246" s="33"/>
      <c r="AG246" s="3"/>
    </row>
    <row r="247" spans="1:33" s="7" customFormat="1" x14ac:dyDescent="0.2">
      <c r="A247" s="5"/>
      <c r="B247" s="5"/>
      <c r="C247" s="5"/>
      <c r="D247" s="6"/>
      <c r="E247" s="5"/>
      <c r="F247" s="3"/>
      <c r="G247" s="5"/>
      <c r="H247" s="5"/>
      <c r="I247" s="5"/>
      <c r="J247" s="3"/>
      <c r="K247" s="5"/>
      <c r="L247" s="5"/>
      <c r="M247" s="5"/>
      <c r="N247" s="5"/>
      <c r="O247" s="5"/>
      <c r="P247" s="3"/>
      <c r="Q247" s="14"/>
      <c r="R247" s="14"/>
      <c r="S247" s="14"/>
      <c r="T247" s="3"/>
      <c r="U247" s="4"/>
      <c r="V247" s="4"/>
      <c r="W247" s="4"/>
      <c r="X247" s="4"/>
      <c r="Y247" s="4"/>
      <c r="Z247" s="3"/>
      <c r="AB247" s="14"/>
      <c r="AC247" s="14"/>
      <c r="AD247" s="14"/>
      <c r="AE247" s="33"/>
      <c r="AG247" s="3"/>
    </row>
    <row r="248" spans="1:33" s="7" customFormat="1" x14ac:dyDescent="0.2">
      <c r="A248" s="5"/>
      <c r="B248" s="5"/>
      <c r="C248" s="5"/>
      <c r="D248" s="6"/>
      <c r="E248" s="5"/>
      <c r="F248" s="3"/>
      <c r="G248" s="5"/>
      <c r="H248" s="5"/>
      <c r="I248" s="5"/>
      <c r="J248" s="3"/>
      <c r="K248" s="5"/>
      <c r="L248" s="5"/>
      <c r="M248" s="5"/>
      <c r="N248" s="5"/>
      <c r="O248" s="5"/>
      <c r="P248" s="3"/>
      <c r="Q248" s="14"/>
      <c r="R248" s="14"/>
      <c r="S248" s="14"/>
      <c r="T248" s="3"/>
      <c r="U248" s="4"/>
      <c r="V248" s="4"/>
      <c r="W248" s="4"/>
      <c r="X248" s="4"/>
      <c r="Y248" s="4"/>
      <c r="Z248" s="3"/>
      <c r="AB248" s="14"/>
      <c r="AC248" s="14"/>
      <c r="AD248" s="14"/>
      <c r="AE248" s="33"/>
      <c r="AG248" s="3"/>
    </row>
    <row r="249" spans="1:33" s="7" customFormat="1" x14ac:dyDescent="0.2">
      <c r="A249" s="5"/>
      <c r="B249" s="5"/>
      <c r="C249" s="5"/>
      <c r="D249" s="6"/>
      <c r="E249" s="5"/>
      <c r="F249" s="3"/>
      <c r="G249" s="5"/>
      <c r="H249" s="5"/>
      <c r="I249" s="5"/>
      <c r="J249" s="3"/>
      <c r="K249" s="5"/>
      <c r="L249" s="5"/>
      <c r="M249" s="5"/>
      <c r="N249" s="5"/>
      <c r="O249" s="5"/>
      <c r="P249" s="3"/>
      <c r="Q249" s="14"/>
      <c r="R249" s="14"/>
      <c r="S249" s="14"/>
      <c r="T249" s="3"/>
      <c r="U249" s="4"/>
      <c r="V249" s="4"/>
      <c r="W249" s="4"/>
      <c r="X249" s="4"/>
      <c r="Y249" s="4"/>
      <c r="Z249" s="3"/>
      <c r="AB249" s="14"/>
      <c r="AC249" s="14"/>
      <c r="AD249" s="14"/>
      <c r="AE249" s="33"/>
      <c r="AG249" s="3"/>
    </row>
    <row r="250" spans="1:33" s="7" customFormat="1" x14ac:dyDescent="0.2">
      <c r="A250" s="5"/>
      <c r="B250" s="5"/>
      <c r="C250" s="5"/>
      <c r="D250" s="6"/>
      <c r="E250" s="5"/>
      <c r="F250" s="3"/>
      <c r="G250" s="5"/>
      <c r="H250" s="5"/>
      <c r="I250" s="5"/>
      <c r="J250" s="3"/>
      <c r="K250" s="5"/>
      <c r="L250" s="5"/>
      <c r="M250" s="5"/>
      <c r="N250" s="5"/>
      <c r="O250" s="5"/>
      <c r="P250" s="3"/>
      <c r="Q250" s="14"/>
      <c r="R250" s="14"/>
      <c r="S250" s="14"/>
      <c r="T250" s="3"/>
      <c r="U250" s="4"/>
      <c r="V250" s="4"/>
      <c r="W250" s="4"/>
      <c r="X250" s="4"/>
      <c r="Y250" s="4"/>
      <c r="Z250" s="3"/>
      <c r="AB250" s="14"/>
      <c r="AC250" s="14"/>
      <c r="AD250" s="14"/>
      <c r="AE250" s="33"/>
      <c r="AG250" s="3"/>
    </row>
    <row r="251" spans="1:33" s="7" customFormat="1" x14ac:dyDescent="0.2">
      <c r="A251" s="5"/>
      <c r="B251" s="5"/>
      <c r="C251" s="5"/>
      <c r="D251" s="6"/>
      <c r="E251" s="5"/>
      <c r="F251" s="3"/>
      <c r="G251" s="5"/>
      <c r="H251" s="5"/>
      <c r="I251" s="5"/>
      <c r="J251" s="3"/>
      <c r="K251" s="5"/>
      <c r="L251" s="5"/>
      <c r="M251" s="5"/>
      <c r="N251" s="5"/>
      <c r="O251" s="5"/>
      <c r="P251" s="3"/>
      <c r="Q251" s="14"/>
      <c r="R251" s="14"/>
      <c r="S251" s="14"/>
      <c r="T251" s="3"/>
      <c r="U251" s="4"/>
      <c r="V251" s="4"/>
      <c r="W251" s="4"/>
      <c r="X251" s="4"/>
      <c r="Y251" s="4"/>
      <c r="Z251" s="3"/>
      <c r="AB251" s="14"/>
      <c r="AC251" s="14"/>
      <c r="AD251" s="14"/>
      <c r="AE251" s="33"/>
      <c r="AG251" s="3"/>
    </row>
    <row r="252" spans="1:33" s="7" customFormat="1" x14ac:dyDescent="0.2">
      <c r="A252" s="5"/>
      <c r="B252" s="5"/>
      <c r="C252" s="5"/>
      <c r="D252" s="6"/>
      <c r="E252" s="5"/>
      <c r="F252" s="3"/>
      <c r="G252" s="5"/>
      <c r="H252" s="5"/>
      <c r="I252" s="5"/>
      <c r="J252" s="3"/>
      <c r="K252" s="5"/>
      <c r="L252" s="5"/>
      <c r="M252" s="5"/>
      <c r="N252" s="5"/>
      <c r="O252" s="5"/>
      <c r="P252" s="3"/>
      <c r="Q252" s="14"/>
      <c r="R252" s="14"/>
      <c r="S252" s="14"/>
      <c r="T252" s="3"/>
      <c r="U252" s="4"/>
      <c r="V252" s="4"/>
      <c r="W252" s="4"/>
      <c r="X252" s="4"/>
      <c r="Y252" s="4"/>
      <c r="Z252" s="3"/>
      <c r="AB252" s="14"/>
      <c r="AC252" s="14"/>
      <c r="AD252" s="14"/>
      <c r="AE252" s="33"/>
      <c r="AG252" s="3"/>
    </row>
    <row r="253" spans="1:33" s="7" customFormat="1" x14ac:dyDescent="0.2">
      <c r="A253" s="5"/>
      <c r="B253" s="5"/>
      <c r="C253" s="5"/>
      <c r="D253" s="6"/>
      <c r="E253" s="5"/>
      <c r="F253" s="3"/>
      <c r="G253" s="5"/>
      <c r="H253" s="5"/>
      <c r="I253" s="5"/>
      <c r="J253" s="3"/>
      <c r="K253" s="5"/>
      <c r="L253" s="5"/>
      <c r="M253" s="5"/>
      <c r="N253" s="5"/>
      <c r="O253" s="5"/>
      <c r="P253" s="3"/>
      <c r="Q253" s="14"/>
      <c r="R253" s="14"/>
      <c r="S253" s="14"/>
      <c r="T253" s="3"/>
      <c r="U253" s="4"/>
      <c r="V253" s="4"/>
      <c r="W253" s="4"/>
      <c r="X253" s="4"/>
      <c r="Y253" s="4"/>
      <c r="Z253" s="3"/>
      <c r="AB253" s="14"/>
      <c r="AC253" s="14"/>
      <c r="AD253" s="14"/>
      <c r="AE253" s="33"/>
      <c r="AG253" s="3"/>
    </row>
    <row r="254" spans="1:33" s="7" customFormat="1" x14ac:dyDescent="0.2">
      <c r="A254" s="5"/>
      <c r="B254" s="5"/>
      <c r="C254" s="5"/>
      <c r="D254" s="6"/>
      <c r="E254" s="5"/>
      <c r="F254" s="3"/>
      <c r="G254" s="5"/>
      <c r="H254" s="5"/>
      <c r="I254" s="5"/>
      <c r="J254" s="3"/>
      <c r="K254" s="5"/>
      <c r="L254" s="5"/>
      <c r="M254" s="5"/>
      <c r="N254" s="5"/>
      <c r="O254" s="5"/>
      <c r="P254" s="3"/>
      <c r="Q254" s="14"/>
      <c r="R254" s="14"/>
      <c r="S254" s="14"/>
      <c r="T254" s="3"/>
      <c r="U254" s="4"/>
      <c r="V254" s="4"/>
      <c r="W254" s="4"/>
      <c r="X254" s="4"/>
      <c r="Y254" s="4"/>
      <c r="Z254" s="3"/>
      <c r="AB254" s="14"/>
      <c r="AC254" s="14"/>
      <c r="AD254" s="14"/>
      <c r="AE254" s="33"/>
      <c r="AG254" s="3"/>
    </row>
    <row r="255" spans="1:33" s="7" customFormat="1" x14ac:dyDescent="0.2">
      <c r="A255" s="5"/>
      <c r="B255" s="5"/>
      <c r="C255" s="5"/>
      <c r="D255" s="6"/>
      <c r="E255" s="5"/>
      <c r="F255" s="3"/>
      <c r="G255" s="5"/>
      <c r="H255" s="5"/>
      <c r="I255" s="5"/>
      <c r="J255" s="3"/>
      <c r="K255" s="5"/>
      <c r="L255" s="5"/>
      <c r="M255" s="5"/>
      <c r="N255" s="5"/>
      <c r="O255" s="5"/>
      <c r="P255" s="3"/>
      <c r="Q255" s="14"/>
      <c r="R255" s="14"/>
      <c r="S255" s="14"/>
      <c r="T255" s="3"/>
      <c r="U255" s="4"/>
      <c r="V255" s="4"/>
      <c r="W255" s="4"/>
      <c r="X255" s="4"/>
      <c r="Y255" s="4"/>
      <c r="Z255" s="3"/>
      <c r="AB255" s="14"/>
      <c r="AC255" s="14"/>
      <c r="AD255" s="14"/>
      <c r="AE255" s="33"/>
      <c r="AG255" s="3"/>
    </row>
    <row r="256" spans="1:33" s="7" customFormat="1" x14ac:dyDescent="0.2">
      <c r="A256" s="5"/>
      <c r="B256" s="5"/>
      <c r="C256" s="5"/>
      <c r="D256" s="6"/>
      <c r="E256" s="5"/>
      <c r="F256" s="3"/>
      <c r="G256" s="5"/>
      <c r="H256" s="5"/>
      <c r="I256" s="5"/>
      <c r="J256" s="3"/>
      <c r="K256" s="5"/>
      <c r="L256" s="5"/>
      <c r="M256" s="5"/>
      <c r="N256" s="5"/>
      <c r="O256" s="5"/>
      <c r="P256" s="3"/>
      <c r="Q256" s="14"/>
      <c r="R256" s="14"/>
      <c r="S256" s="14"/>
      <c r="T256" s="3"/>
      <c r="U256" s="4"/>
      <c r="V256" s="4"/>
      <c r="W256" s="4"/>
      <c r="X256" s="4"/>
      <c r="Y256" s="4"/>
      <c r="Z256" s="3"/>
      <c r="AB256" s="14"/>
      <c r="AC256" s="14"/>
      <c r="AD256" s="14"/>
      <c r="AE256" s="33"/>
      <c r="AG256" s="3"/>
    </row>
    <row r="257" spans="1:33" s="7" customFormat="1" x14ac:dyDescent="0.2">
      <c r="A257" s="5"/>
      <c r="B257" s="5"/>
      <c r="C257" s="5"/>
      <c r="D257" s="6"/>
      <c r="E257" s="5"/>
      <c r="F257" s="3"/>
      <c r="G257" s="5"/>
      <c r="H257" s="5"/>
      <c r="I257" s="5"/>
      <c r="J257" s="3"/>
      <c r="K257" s="5"/>
      <c r="L257" s="5"/>
      <c r="M257" s="5"/>
      <c r="N257" s="5"/>
      <c r="O257" s="5"/>
      <c r="P257" s="3"/>
      <c r="Q257" s="14"/>
      <c r="R257" s="14"/>
      <c r="S257" s="14"/>
      <c r="T257" s="3"/>
      <c r="U257" s="4"/>
      <c r="V257" s="4"/>
      <c r="W257" s="4"/>
      <c r="X257" s="4"/>
      <c r="Y257" s="4"/>
      <c r="Z257" s="3"/>
      <c r="AB257" s="14"/>
      <c r="AC257" s="14"/>
      <c r="AD257" s="14"/>
      <c r="AE257" s="33"/>
      <c r="AG257" s="3"/>
    </row>
    <row r="258" spans="1:33" s="7" customFormat="1" x14ac:dyDescent="0.2">
      <c r="A258" s="5"/>
      <c r="B258" s="5"/>
      <c r="C258" s="5"/>
      <c r="D258" s="6"/>
      <c r="E258" s="5"/>
      <c r="F258" s="3"/>
      <c r="G258" s="5"/>
      <c r="H258" s="5"/>
      <c r="I258" s="5"/>
      <c r="J258" s="3"/>
      <c r="K258" s="5"/>
      <c r="L258" s="5"/>
      <c r="M258" s="5"/>
      <c r="N258" s="5"/>
      <c r="O258" s="5"/>
      <c r="P258" s="3"/>
      <c r="Q258" s="14"/>
      <c r="R258" s="14"/>
      <c r="S258" s="14"/>
      <c r="T258" s="3"/>
      <c r="U258" s="4"/>
      <c r="V258" s="4"/>
      <c r="W258" s="4"/>
      <c r="X258" s="4"/>
      <c r="Y258" s="4"/>
      <c r="Z258" s="3"/>
      <c r="AB258" s="14"/>
      <c r="AC258" s="14"/>
      <c r="AD258" s="14"/>
      <c r="AE258" s="33"/>
      <c r="AG258" s="3"/>
    </row>
    <row r="259" spans="1:33" s="7" customFormat="1" x14ac:dyDescent="0.2">
      <c r="A259" s="5"/>
      <c r="B259" s="5"/>
      <c r="C259" s="5"/>
      <c r="D259" s="6"/>
      <c r="E259" s="5"/>
      <c r="F259" s="3"/>
      <c r="G259" s="5"/>
      <c r="H259" s="5"/>
      <c r="I259" s="5"/>
      <c r="J259" s="3"/>
      <c r="K259" s="5"/>
      <c r="L259" s="5"/>
      <c r="M259" s="5"/>
      <c r="N259" s="5"/>
      <c r="O259" s="5"/>
      <c r="P259" s="3"/>
      <c r="Q259" s="14"/>
      <c r="R259" s="14"/>
      <c r="S259" s="14"/>
      <c r="T259" s="3"/>
      <c r="U259" s="4"/>
      <c r="V259" s="4"/>
      <c r="W259" s="4"/>
      <c r="X259" s="4"/>
      <c r="Y259" s="4"/>
      <c r="Z259" s="3"/>
      <c r="AB259" s="14"/>
      <c r="AC259" s="14"/>
      <c r="AD259" s="14"/>
      <c r="AE259" s="33"/>
      <c r="AG259" s="3"/>
    </row>
    <row r="260" spans="1:33" s="7" customFormat="1" x14ac:dyDescent="0.2">
      <c r="A260" s="5"/>
      <c r="B260" s="5"/>
      <c r="C260" s="5"/>
      <c r="D260" s="6"/>
      <c r="E260" s="5"/>
      <c r="F260" s="3"/>
      <c r="G260" s="5"/>
      <c r="H260" s="5"/>
      <c r="I260" s="5"/>
      <c r="J260" s="3"/>
      <c r="K260" s="5"/>
      <c r="L260" s="5"/>
      <c r="M260" s="5"/>
      <c r="N260" s="5"/>
      <c r="O260" s="5"/>
      <c r="P260" s="3"/>
      <c r="Q260" s="14"/>
      <c r="R260" s="14"/>
      <c r="S260" s="14"/>
      <c r="T260" s="3"/>
      <c r="U260" s="4"/>
      <c r="V260" s="4"/>
      <c r="W260" s="4"/>
      <c r="X260" s="4"/>
      <c r="Y260" s="4"/>
      <c r="Z260" s="3"/>
      <c r="AB260" s="14"/>
      <c r="AC260" s="14"/>
      <c r="AD260" s="14"/>
      <c r="AE260" s="33"/>
      <c r="AG260" s="3"/>
    </row>
    <row r="261" spans="1:33" s="7" customFormat="1" x14ac:dyDescent="0.2">
      <c r="A261" s="5"/>
      <c r="B261" s="5"/>
      <c r="C261" s="5"/>
      <c r="D261" s="6"/>
      <c r="E261" s="5"/>
      <c r="F261" s="3"/>
      <c r="G261" s="5"/>
      <c r="H261" s="5"/>
      <c r="I261" s="5"/>
      <c r="J261" s="3"/>
      <c r="K261" s="5"/>
      <c r="L261" s="5"/>
      <c r="M261" s="5"/>
      <c r="N261" s="5"/>
      <c r="O261" s="5"/>
      <c r="P261" s="3"/>
      <c r="Q261" s="14"/>
      <c r="R261" s="14"/>
      <c r="S261" s="14"/>
      <c r="T261" s="3"/>
      <c r="U261" s="4"/>
      <c r="V261" s="4"/>
      <c r="W261" s="4"/>
      <c r="X261" s="4"/>
      <c r="Y261" s="4"/>
      <c r="Z261" s="3"/>
      <c r="AB261" s="14"/>
      <c r="AC261" s="14"/>
      <c r="AD261" s="14"/>
      <c r="AE261" s="33"/>
      <c r="AG261" s="3"/>
    </row>
    <row r="262" spans="1:33" s="7" customFormat="1" x14ac:dyDescent="0.2">
      <c r="A262" s="5"/>
      <c r="B262" s="5"/>
      <c r="C262" s="5"/>
      <c r="D262" s="6"/>
      <c r="E262" s="5"/>
      <c r="F262" s="3"/>
      <c r="G262" s="5"/>
      <c r="H262" s="5"/>
      <c r="I262" s="5"/>
      <c r="J262" s="3"/>
      <c r="K262" s="5"/>
      <c r="L262" s="5"/>
      <c r="M262" s="5"/>
      <c r="N262" s="5"/>
      <c r="O262" s="5"/>
      <c r="P262" s="3"/>
      <c r="Q262" s="14"/>
      <c r="R262" s="14"/>
      <c r="S262" s="14"/>
      <c r="T262" s="3"/>
      <c r="U262" s="4"/>
      <c r="V262" s="4"/>
      <c r="W262" s="4"/>
      <c r="X262" s="4"/>
      <c r="Y262" s="4"/>
      <c r="Z262" s="3"/>
      <c r="AB262" s="14"/>
      <c r="AC262" s="14"/>
      <c r="AD262" s="14"/>
      <c r="AE262" s="33"/>
      <c r="AG262" s="3"/>
    </row>
    <row r="263" spans="1:33" s="7" customFormat="1" x14ac:dyDescent="0.2">
      <c r="A263" s="5"/>
      <c r="B263" s="5"/>
      <c r="C263" s="5"/>
      <c r="D263" s="6"/>
      <c r="E263" s="5"/>
      <c r="F263" s="3"/>
      <c r="G263" s="5"/>
      <c r="H263" s="5"/>
      <c r="I263" s="5"/>
      <c r="J263" s="3"/>
      <c r="K263" s="5"/>
      <c r="L263" s="5"/>
      <c r="M263" s="5"/>
      <c r="N263" s="5"/>
      <c r="O263" s="5"/>
      <c r="P263" s="3"/>
      <c r="Q263" s="14"/>
      <c r="R263" s="14"/>
      <c r="S263" s="14"/>
      <c r="T263" s="3"/>
      <c r="U263" s="4"/>
      <c r="V263" s="4"/>
      <c r="W263" s="4"/>
      <c r="X263" s="4"/>
      <c r="Y263" s="4"/>
      <c r="Z263" s="3"/>
      <c r="AB263" s="14"/>
      <c r="AC263" s="14"/>
      <c r="AD263" s="14"/>
      <c r="AE263" s="33"/>
      <c r="AG263" s="3"/>
    </row>
    <row r="264" spans="1:33" s="7" customFormat="1" x14ac:dyDescent="0.2">
      <c r="A264" s="5"/>
      <c r="B264" s="5"/>
      <c r="C264" s="5"/>
      <c r="D264" s="6"/>
      <c r="E264" s="5"/>
      <c r="F264" s="3"/>
      <c r="G264" s="5"/>
      <c r="H264" s="5"/>
      <c r="I264" s="5"/>
      <c r="J264" s="3"/>
      <c r="K264" s="5"/>
      <c r="L264" s="5"/>
      <c r="M264" s="5"/>
      <c r="N264" s="5"/>
      <c r="O264" s="5"/>
      <c r="P264" s="3"/>
      <c r="Q264" s="14"/>
      <c r="R264" s="14"/>
      <c r="S264" s="14"/>
      <c r="T264" s="3"/>
      <c r="U264" s="4"/>
      <c r="V264" s="4"/>
      <c r="W264" s="4"/>
      <c r="X264" s="4"/>
      <c r="Y264" s="4"/>
      <c r="Z264" s="3"/>
      <c r="AB264" s="14"/>
      <c r="AC264" s="14"/>
      <c r="AD264" s="14"/>
      <c r="AE264" s="33"/>
      <c r="AG264" s="3"/>
    </row>
    <row r="265" spans="1:33" s="7" customFormat="1" x14ac:dyDescent="0.2">
      <c r="A265" s="5"/>
      <c r="B265" s="5"/>
      <c r="C265" s="5"/>
      <c r="D265" s="6"/>
      <c r="E265" s="5"/>
      <c r="F265" s="3"/>
      <c r="G265" s="5"/>
      <c r="H265" s="5"/>
      <c r="I265" s="5"/>
      <c r="J265" s="3"/>
      <c r="K265" s="5"/>
      <c r="L265" s="5"/>
      <c r="M265" s="5"/>
      <c r="N265" s="5"/>
      <c r="O265" s="5"/>
      <c r="P265" s="3"/>
      <c r="Q265" s="14"/>
      <c r="R265" s="14"/>
      <c r="S265" s="14"/>
      <c r="T265" s="3"/>
      <c r="U265" s="4"/>
      <c r="V265" s="4"/>
      <c r="W265" s="4"/>
      <c r="X265" s="4"/>
      <c r="Y265" s="4"/>
      <c r="Z265" s="3"/>
      <c r="AB265" s="14"/>
      <c r="AC265" s="14"/>
      <c r="AD265" s="14"/>
      <c r="AE265" s="33"/>
      <c r="AG265" s="3"/>
    </row>
    <row r="266" spans="1:33" s="7" customFormat="1" x14ac:dyDescent="0.2">
      <c r="A266" s="5"/>
      <c r="B266" s="5"/>
      <c r="C266" s="5"/>
      <c r="D266" s="6"/>
      <c r="E266" s="5"/>
      <c r="F266" s="3"/>
      <c r="G266" s="5"/>
      <c r="H266" s="5"/>
      <c r="I266" s="5"/>
      <c r="J266" s="3"/>
      <c r="K266" s="5"/>
      <c r="L266" s="5"/>
      <c r="M266" s="5"/>
      <c r="N266" s="5"/>
      <c r="O266" s="5"/>
      <c r="P266" s="3"/>
      <c r="Q266" s="14"/>
      <c r="R266" s="14"/>
      <c r="S266" s="14"/>
      <c r="T266" s="3"/>
      <c r="U266" s="4"/>
      <c r="V266" s="4"/>
      <c r="W266" s="4"/>
      <c r="X266" s="4"/>
      <c r="Y266" s="4"/>
      <c r="Z266" s="3"/>
      <c r="AB266" s="14"/>
      <c r="AC266" s="14"/>
      <c r="AD266" s="14"/>
      <c r="AE266" s="33"/>
      <c r="AG266" s="3"/>
    </row>
    <row r="267" spans="1:33" s="7" customFormat="1" x14ac:dyDescent="0.2">
      <c r="A267" s="5"/>
      <c r="B267" s="5"/>
      <c r="C267" s="5"/>
      <c r="D267" s="6"/>
      <c r="E267" s="5"/>
      <c r="F267" s="3"/>
      <c r="G267" s="5"/>
      <c r="H267" s="5"/>
      <c r="I267" s="5"/>
      <c r="J267" s="3"/>
      <c r="K267" s="5"/>
      <c r="L267" s="5"/>
      <c r="M267" s="5"/>
      <c r="N267" s="5"/>
      <c r="O267" s="5"/>
      <c r="P267" s="3"/>
      <c r="Q267" s="14"/>
      <c r="R267" s="14"/>
      <c r="S267" s="14"/>
      <c r="T267" s="3"/>
      <c r="U267" s="4"/>
      <c r="V267" s="4"/>
      <c r="W267" s="4"/>
      <c r="X267" s="4"/>
      <c r="Y267" s="4"/>
      <c r="Z267" s="3"/>
      <c r="AB267" s="14"/>
      <c r="AC267" s="14"/>
      <c r="AD267" s="14"/>
      <c r="AE267" s="33"/>
      <c r="AG267" s="3"/>
    </row>
    <row r="268" spans="1:33" s="7" customFormat="1" x14ac:dyDescent="0.2">
      <c r="A268" s="5"/>
      <c r="B268" s="5"/>
      <c r="C268" s="5"/>
      <c r="D268" s="6"/>
      <c r="E268" s="5"/>
      <c r="F268" s="3"/>
      <c r="G268" s="5"/>
      <c r="H268" s="5"/>
      <c r="I268" s="5"/>
      <c r="J268" s="3"/>
      <c r="K268" s="5"/>
      <c r="L268" s="5"/>
      <c r="M268" s="5"/>
      <c r="N268" s="5"/>
      <c r="O268" s="5"/>
      <c r="P268" s="3"/>
      <c r="Q268" s="14"/>
      <c r="R268" s="14"/>
      <c r="S268" s="14"/>
      <c r="T268" s="3"/>
      <c r="U268" s="4"/>
      <c r="V268" s="4"/>
      <c r="W268" s="4"/>
      <c r="X268" s="4"/>
      <c r="Y268" s="4"/>
      <c r="Z268" s="3"/>
      <c r="AB268" s="14"/>
      <c r="AC268" s="14"/>
      <c r="AD268" s="14"/>
      <c r="AE268" s="33"/>
      <c r="AG268" s="3"/>
    </row>
    <row r="269" spans="1:33" s="7" customFormat="1" x14ac:dyDescent="0.2">
      <c r="A269" s="5"/>
      <c r="B269" s="5"/>
      <c r="C269" s="5"/>
      <c r="D269" s="6"/>
      <c r="E269" s="5"/>
      <c r="F269" s="3"/>
      <c r="G269" s="5"/>
      <c r="H269" s="5"/>
      <c r="I269" s="5"/>
      <c r="J269" s="3"/>
      <c r="K269" s="5"/>
      <c r="L269" s="5"/>
      <c r="M269" s="5"/>
      <c r="N269" s="5"/>
      <c r="O269" s="5"/>
      <c r="P269" s="3"/>
      <c r="Q269" s="14"/>
      <c r="R269" s="14"/>
      <c r="S269" s="14"/>
      <c r="T269" s="3"/>
      <c r="U269" s="4"/>
      <c r="V269" s="4"/>
      <c r="W269" s="4"/>
      <c r="X269" s="4"/>
      <c r="Y269" s="4"/>
      <c r="Z269" s="3"/>
      <c r="AB269" s="14"/>
      <c r="AC269" s="14"/>
      <c r="AD269" s="14"/>
      <c r="AE269" s="33"/>
      <c r="AG269" s="3"/>
    </row>
    <row r="270" spans="1:33" s="7" customFormat="1" x14ac:dyDescent="0.2">
      <c r="A270" s="5"/>
      <c r="B270" s="5"/>
      <c r="C270" s="5"/>
      <c r="D270" s="6"/>
      <c r="E270" s="5"/>
      <c r="F270" s="3"/>
      <c r="G270" s="5"/>
      <c r="H270" s="5"/>
      <c r="I270" s="5"/>
      <c r="J270" s="3"/>
      <c r="K270" s="5"/>
      <c r="L270" s="5"/>
      <c r="M270" s="5"/>
      <c r="N270" s="5"/>
      <c r="O270" s="5"/>
      <c r="P270" s="3"/>
      <c r="Q270" s="14"/>
      <c r="R270" s="14"/>
      <c r="S270" s="14"/>
      <c r="T270" s="3"/>
      <c r="U270" s="4"/>
      <c r="V270" s="4"/>
      <c r="W270" s="4"/>
      <c r="X270" s="4"/>
      <c r="Y270" s="4"/>
      <c r="Z270" s="3"/>
      <c r="AB270" s="14"/>
      <c r="AC270" s="14"/>
      <c r="AD270" s="14"/>
      <c r="AE270" s="33"/>
      <c r="AG270" s="3"/>
    </row>
    <row r="271" spans="1:33" s="7" customFormat="1" x14ac:dyDescent="0.2">
      <c r="A271" s="5"/>
      <c r="B271" s="5"/>
      <c r="C271" s="5"/>
      <c r="D271" s="6"/>
      <c r="E271" s="5"/>
      <c r="F271" s="3"/>
      <c r="G271" s="5"/>
      <c r="H271" s="5"/>
      <c r="I271" s="5"/>
      <c r="J271" s="3"/>
      <c r="K271" s="5"/>
      <c r="L271" s="5"/>
      <c r="M271" s="5"/>
      <c r="N271" s="5"/>
      <c r="O271" s="5"/>
      <c r="P271" s="3"/>
      <c r="Q271" s="14"/>
      <c r="R271" s="14"/>
      <c r="S271" s="14"/>
      <c r="T271" s="3"/>
      <c r="U271" s="4"/>
      <c r="V271" s="4"/>
      <c r="W271" s="4"/>
      <c r="X271" s="4"/>
      <c r="Y271" s="4"/>
      <c r="Z271" s="3"/>
      <c r="AB271" s="14"/>
      <c r="AC271" s="14"/>
      <c r="AD271" s="14"/>
      <c r="AE271" s="33"/>
      <c r="AG271" s="3"/>
    </row>
    <row r="272" spans="1:33" s="7" customFormat="1" x14ac:dyDescent="0.2">
      <c r="A272" s="5"/>
      <c r="B272" s="5"/>
      <c r="C272" s="5"/>
      <c r="D272" s="6"/>
      <c r="E272" s="5"/>
      <c r="F272" s="3"/>
      <c r="G272" s="5"/>
      <c r="H272" s="5"/>
      <c r="I272" s="5"/>
      <c r="J272" s="3"/>
      <c r="K272" s="5"/>
      <c r="L272" s="5"/>
      <c r="M272" s="5"/>
      <c r="N272" s="5"/>
      <c r="O272" s="5"/>
      <c r="P272" s="3"/>
      <c r="Q272" s="14"/>
      <c r="R272" s="14"/>
      <c r="S272" s="14"/>
      <c r="T272" s="3"/>
      <c r="U272" s="4"/>
      <c r="V272" s="4"/>
      <c r="W272" s="4"/>
      <c r="X272" s="4"/>
      <c r="Y272" s="4"/>
      <c r="Z272" s="3"/>
      <c r="AB272" s="14"/>
      <c r="AC272" s="14"/>
      <c r="AD272" s="14"/>
      <c r="AE272" s="33"/>
      <c r="AG272" s="3"/>
    </row>
    <row r="273" spans="1:33" s="7" customFormat="1" x14ac:dyDescent="0.2">
      <c r="A273" s="5"/>
      <c r="B273" s="5"/>
      <c r="C273" s="5"/>
      <c r="D273" s="6"/>
      <c r="E273" s="5"/>
      <c r="F273" s="3"/>
      <c r="G273" s="5"/>
      <c r="H273" s="5"/>
      <c r="I273" s="5"/>
      <c r="J273" s="3"/>
      <c r="K273" s="5"/>
      <c r="L273" s="5"/>
      <c r="M273" s="5"/>
      <c r="N273" s="5"/>
      <c r="O273" s="5"/>
      <c r="P273" s="3"/>
      <c r="Q273" s="14"/>
      <c r="R273" s="14"/>
      <c r="S273" s="14"/>
      <c r="T273" s="3"/>
      <c r="U273" s="4"/>
      <c r="V273" s="4"/>
      <c r="W273" s="4"/>
      <c r="X273" s="4"/>
      <c r="Y273" s="4"/>
      <c r="Z273" s="3"/>
      <c r="AB273" s="14"/>
      <c r="AC273" s="14"/>
      <c r="AD273" s="14"/>
      <c r="AE273" s="33"/>
      <c r="AG273" s="3"/>
    </row>
    <row r="274" spans="1:33" s="7" customFormat="1" x14ac:dyDescent="0.2">
      <c r="A274" s="5"/>
      <c r="B274" s="5"/>
      <c r="C274" s="5"/>
      <c r="D274" s="6"/>
      <c r="E274" s="5"/>
      <c r="F274" s="3"/>
      <c r="G274" s="5"/>
      <c r="H274" s="5"/>
      <c r="I274" s="5"/>
      <c r="J274" s="3"/>
      <c r="K274" s="5"/>
      <c r="L274" s="5"/>
      <c r="M274" s="5"/>
      <c r="N274" s="5"/>
      <c r="O274" s="5"/>
      <c r="P274" s="3"/>
      <c r="Q274" s="14"/>
      <c r="R274" s="14"/>
      <c r="S274" s="14"/>
      <c r="T274" s="3"/>
      <c r="U274" s="4"/>
      <c r="V274" s="4"/>
      <c r="W274" s="4"/>
      <c r="X274" s="4"/>
      <c r="Y274" s="4"/>
      <c r="Z274" s="3"/>
      <c r="AB274" s="14"/>
      <c r="AC274" s="14"/>
      <c r="AD274" s="14"/>
      <c r="AE274" s="33"/>
      <c r="AG274" s="3"/>
    </row>
    <row r="275" spans="1:33" s="7" customFormat="1" x14ac:dyDescent="0.2">
      <c r="A275" s="5"/>
      <c r="B275" s="5"/>
      <c r="C275" s="5"/>
      <c r="D275" s="6"/>
      <c r="E275" s="5"/>
      <c r="F275" s="3"/>
      <c r="G275" s="5"/>
      <c r="H275" s="5"/>
      <c r="I275" s="5"/>
      <c r="J275" s="3"/>
      <c r="K275" s="5"/>
      <c r="L275" s="5"/>
      <c r="M275" s="5"/>
      <c r="N275" s="5"/>
      <c r="O275" s="5"/>
      <c r="P275" s="3"/>
      <c r="Q275" s="14"/>
      <c r="R275" s="14"/>
      <c r="S275" s="14"/>
      <c r="T275" s="3"/>
      <c r="U275" s="4"/>
      <c r="V275" s="4"/>
      <c r="W275" s="4"/>
      <c r="X275" s="4"/>
      <c r="Y275" s="4"/>
      <c r="Z275" s="3"/>
      <c r="AB275" s="14"/>
      <c r="AC275" s="14"/>
      <c r="AD275" s="14"/>
      <c r="AE275" s="33"/>
      <c r="AG275" s="3"/>
    </row>
    <row r="276" spans="1:33" s="7" customFormat="1" x14ac:dyDescent="0.2">
      <c r="A276" s="5"/>
      <c r="B276" s="5"/>
      <c r="C276" s="5"/>
      <c r="D276" s="6"/>
      <c r="E276" s="5"/>
      <c r="F276" s="3"/>
      <c r="G276" s="5"/>
      <c r="H276" s="5"/>
      <c r="I276" s="5"/>
      <c r="J276" s="3"/>
      <c r="K276" s="5"/>
      <c r="L276" s="5"/>
      <c r="M276" s="5"/>
      <c r="N276" s="5"/>
      <c r="O276" s="5"/>
      <c r="P276" s="3"/>
      <c r="Q276" s="14"/>
      <c r="R276" s="14"/>
      <c r="S276" s="14"/>
      <c r="T276" s="3"/>
      <c r="U276" s="4"/>
      <c r="V276" s="4"/>
      <c r="W276" s="4"/>
      <c r="X276" s="4"/>
      <c r="Y276" s="4"/>
      <c r="Z276" s="3"/>
      <c r="AB276" s="14"/>
      <c r="AC276" s="14"/>
      <c r="AD276" s="14"/>
      <c r="AE276" s="33"/>
      <c r="AG276" s="3"/>
    </row>
    <row r="277" spans="1:33" s="7" customFormat="1" x14ac:dyDescent="0.2">
      <c r="A277" s="5"/>
      <c r="B277" s="5"/>
      <c r="C277" s="5"/>
      <c r="D277" s="6"/>
      <c r="E277" s="5"/>
      <c r="F277" s="3"/>
      <c r="G277" s="5"/>
      <c r="H277" s="5"/>
      <c r="I277" s="5"/>
      <c r="J277" s="3"/>
      <c r="K277" s="5"/>
      <c r="L277" s="5"/>
      <c r="M277" s="5"/>
      <c r="N277" s="5"/>
      <c r="O277" s="5"/>
      <c r="P277" s="3"/>
      <c r="Q277" s="14"/>
      <c r="R277" s="14"/>
      <c r="S277" s="14"/>
      <c r="T277" s="3"/>
      <c r="U277" s="4"/>
      <c r="V277" s="4"/>
      <c r="W277" s="4"/>
      <c r="X277" s="4"/>
      <c r="Y277" s="4"/>
      <c r="Z277" s="3"/>
      <c r="AB277" s="14"/>
      <c r="AC277" s="14"/>
      <c r="AD277" s="14"/>
      <c r="AE277" s="33"/>
      <c r="AG277" s="3"/>
    </row>
    <row r="278" spans="1:33" s="7" customFormat="1" x14ac:dyDescent="0.2">
      <c r="A278" s="5"/>
      <c r="B278" s="5"/>
      <c r="C278" s="5"/>
      <c r="D278" s="6"/>
      <c r="E278" s="5"/>
      <c r="F278" s="3"/>
      <c r="G278" s="5"/>
      <c r="H278" s="5"/>
      <c r="I278" s="5"/>
      <c r="J278" s="3"/>
      <c r="K278" s="5"/>
      <c r="L278" s="5"/>
      <c r="M278" s="5"/>
      <c r="N278" s="5"/>
      <c r="O278" s="5"/>
      <c r="P278" s="3"/>
      <c r="Q278" s="14"/>
      <c r="R278" s="14"/>
      <c r="S278" s="14"/>
      <c r="T278" s="3"/>
      <c r="U278" s="4"/>
      <c r="V278" s="4"/>
      <c r="W278" s="4"/>
      <c r="X278" s="4"/>
      <c r="Y278" s="4"/>
      <c r="Z278" s="3"/>
      <c r="AB278" s="14"/>
      <c r="AC278" s="14"/>
      <c r="AD278" s="14"/>
      <c r="AE278" s="33"/>
      <c r="AG278" s="3"/>
    </row>
    <row r="279" spans="1:33" s="7" customFormat="1" x14ac:dyDescent="0.2">
      <c r="A279" s="5"/>
      <c r="B279" s="5"/>
      <c r="C279" s="5"/>
      <c r="D279" s="6"/>
      <c r="E279" s="5"/>
      <c r="F279" s="3"/>
      <c r="G279" s="5"/>
      <c r="H279" s="5"/>
      <c r="I279" s="5"/>
      <c r="J279" s="3"/>
      <c r="K279" s="5"/>
      <c r="L279" s="5"/>
      <c r="M279" s="5"/>
      <c r="N279" s="5"/>
      <c r="O279" s="5"/>
      <c r="P279" s="3"/>
      <c r="Q279" s="14"/>
      <c r="R279" s="14"/>
      <c r="S279" s="14"/>
      <c r="T279" s="3"/>
      <c r="U279" s="4"/>
      <c r="V279" s="4"/>
      <c r="W279" s="4"/>
      <c r="X279" s="4"/>
      <c r="Y279" s="4"/>
      <c r="Z279" s="3"/>
      <c r="AB279" s="14"/>
      <c r="AC279" s="14"/>
      <c r="AD279" s="14"/>
      <c r="AE279" s="33"/>
      <c r="AG279" s="3"/>
    </row>
    <row r="280" spans="1:33" s="7" customFormat="1" x14ac:dyDescent="0.2">
      <c r="A280" s="5"/>
      <c r="B280" s="5"/>
      <c r="C280" s="5"/>
      <c r="D280" s="6"/>
      <c r="E280" s="5"/>
      <c r="F280" s="3"/>
      <c r="G280" s="5"/>
      <c r="H280" s="5"/>
      <c r="I280" s="5"/>
      <c r="J280" s="3"/>
      <c r="K280" s="5"/>
      <c r="L280" s="5"/>
      <c r="M280" s="5"/>
      <c r="N280" s="5"/>
      <c r="O280" s="5"/>
      <c r="P280" s="3"/>
      <c r="Q280" s="14"/>
      <c r="R280" s="14"/>
      <c r="S280" s="14"/>
      <c r="T280" s="3"/>
      <c r="U280" s="4"/>
      <c r="V280" s="4"/>
      <c r="W280" s="4"/>
      <c r="X280" s="4"/>
      <c r="Y280" s="4"/>
      <c r="Z280" s="3"/>
      <c r="AB280" s="14"/>
      <c r="AC280" s="14"/>
      <c r="AD280" s="14"/>
      <c r="AE280" s="33"/>
      <c r="AG280" s="3"/>
    </row>
    <row r="281" spans="1:33" s="7" customFormat="1" x14ac:dyDescent="0.2">
      <c r="A281" s="5"/>
      <c r="B281" s="5"/>
      <c r="C281" s="5"/>
      <c r="D281" s="6"/>
      <c r="E281" s="5"/>
      <c r="F281" s="3"/>
      <c r="G281" s="5"/>
      <c r="H281" s="5"/>
      <c r="I281" s="5"/>
      <c r="J281" s="3"/>
      <c r="K281" s="5"/>
      <c r="L281" s="5"/>
      <c r="M281" s="5"/>
      <c r="N281" s="5"/>
      <c r="O281" s="5"/>
      <c r="P281" s="3"/>
      <c r="Q281" s="14"/>
      <c r="R281" s="14"/>
      <c r="S281" s="14"/>
      <c r="T281" s="3"/>
      <c r="U281" s="4"/>
      <c r="V281" s="4"/>
      <c r="W281" s="4"/>
      <c r="X281" s="4"/>
      <c r="Y281" s="4"/>
      <c r="Z281" s="3"/>
      <c r="AB281" s="14"/>
      <c r="AC281" s="14"/>
      <c r="AD281" s="14"/>
      <c r="AE281" s="33"/>
      <c r="AG281" s="3"/>
    </row>
    <row r="282" spans="1:33" s="7" customFormat="1" x14ac:dyDescent="0.2">
      <c r="A282" s="5"/>
      <c r="B282" s="5"/>
      <c r="C282" s="5"/>
      <c r="D282" s="6"/>
      <c r="E282" s="5"/>
      <c r="F282" s="3"/>
      <c r="G282" s="5"/>
      <c r="H282" s="5"/>
      <c r="I282" s="5"/>
      <c r="J282" s="3"/>
      <c r="K282" s="5"/>
      <c r="L282" s="5"/>
      <c r="M282" s="5"/>
      <c r="N282" s="5"/>
      <c r="O282" s="5"/>
      <c r="P282" s="3"/>
      <c r="Q282" s="14"/>
      <c r="R282" s="14"/>
      <c r="S282" s="14"/>
      <c r="T282" s="3"/>
      <c r="U282" s="4"/>
      <c r="V282" s="4"/>
      <c r="W282" s="4"/>
      <c r="X282" s="4"/>
      <c r="Y282" s="4"/>
      <c r="Z282" s="3"/>
      <c r="AB282" s="14"/>
      <c r="AC282" s="14"/>
      <c r="AD282" s="14"/>
      <c r="AE282" s="33"/>
      <c r="AG282" s="3"/>
    </row>
    <row r="283" spans="1:33" s="7" customFormat="1" x14ac:dyDescent="0.2">
      <c r="A283" s="5"/>
      <c r="B283" s="5"/>
      <c r="C283" s="5"/>
      <c r="D283" s="6"/>
      <c r="E283" s="5"/>
      <c r="F283" s="3"/>
      <c r="G283" s="5"/>
      <c r="H283" s="5"/>
      <c r="I283" s="5"/>
      <c r="J283" s="3"/>
      <c r="K283" s="5"/>
      <c r="L283" s="5"/>
      <c r="M283" s="5"/>
      <c r="N283" s="5"/>
      <c r="O283" s="5"/>
      <c r="P283" s="3"/>
      <c r="Q283" s="14"/>
      <c r="R283" s="14"/>
      <c r="S283" s="14"/>
      <c r="T283" s="3"/>
      <c r="U283" s="4"/>
      <c r="V283" s="4"/>
      <c r="W283" s="4"/>
      <c r="X283" s="4"/>
      <c r="Y283" s="4"/>
      <c r="Z283" s="3"/>
      <c r="AB283" s="14"/>
      <c r="AC283" s="14"/>
      <c r="AD283" s="14"/>
      <c r="AE283" s="33"/>
      <c r="AG283" s="3"/>
    </row>
    <row r="284" spans="1:33" s="7" customFormat="1" x14ac:dyDescent="0.2">
      <c r="A284" s="5"/>
      <c r="B284" s="5"/>
      <c r="C284" s="5"/>
      <c r="D284" s="6"/>
      <c r="E284" s="5"/>
      <c r="F284" s="3"/>
      <c r="G284" s="5"/>
      <c r="H284" s="5"/>
      <c r="I284" s="5"/>
      <c r="J284" s="3"/>
      <c r="K284" s="5"/>
      <c r="L284" s="5"/>
      <c r="M284" s="5"/>
      <c r="N284" s="5"/>
      <c r="O284" s="5"/>
      <c r="P284" s="3"/>
      <c r="Q284" s="14"/>
      <c r="R284" s="14"/>
      <c r="S284" s="14"/>
      <c r="T284" s="3"/>
      <c r="U284" s="4"/>
      <c r="V284" s="4"/>
      <c r="W284" s="4"/>
      <c r="X284" s="4"/>
      <c r="Y284" s="4"/>
      <c r="Z284" s="3"/>
      <c r="AB284" s="14"/>
      <c r="AC284" s="14"/>
      <c r="AD284" s="14"/>
      <c r="AE284" s="33"/>
      <c r="AG284" s="3"/>
    </row>
    <row r="285" spans="1:33" s="7" customFormat="1" x14ac:dyDescent="0.2">
      <c r="A285" s="5"/>
      <c r="B285" s="5"/>
      <c r="C285" s="5"/>
      <c r="D285" s="6"/>
      <c r="E285" s="5"/>
      <c r="F285" s="3"/>
      <c r="G285" s="5"/>
      <c r="H285" s="5"/>
      <c r="I285" s="5"/>
      <c r="J285" s="3"/>
      <c r="K285" s="5"/>
      <c r="L285" s="5"/>
      <c r="M285" s="5"/>
      <c r="N285" s="5"/>
      <c r="O285" s="5"/>
      <c r="P285" s="3"/>
      <c r="Q285" s="14"/>
      <c r="R285" s="14"/>
      <c r="S285" s="14"/>
      <c r="T285" s="3"/>
      <c r="U285" s="4"/>
      <c r="V285" s="4"/>
      <c r="W285" s="4"/>
      <c r="X285" s="4"/>
      <c r="Y285" s="4"/>
      <c r="Z285" s="3"/>
      <c r="AB285" s="14"/>
      <c r="AC285" s="14"/>
      <c r="AD285" s="14"/>
      <c r="AE285" s="33"/>
      <c r="AG285" s="3"/>
    </row>
    <row r="286" spans="1:33" s="7" customFormat="1" x14ac:dyDescent="0.2">
      <c r="A286" s="5"/>
      <c r="B286" s="5"/>
      <c r="C286" s="5"/>
      <c r="D286" s="6"/>
      <c r="E286" s="5"/>
      <c r="F286" s="3"/>
      <c r="G286" s="5"/>
      <c r="H286" s="5"/>
      <c r="I286" s="5"/>
      <c r="J286" s="3"/>
      <c r="K286" s="5"/>
      <c r="L286" s="5"/>
      <c r="M286" s="5"/>
      <c r="N286" s="5"/>
      <c r="O286" s="5"/>
      <c r="P286" s="3"/>
      <c r="Q286" s="14"/>
      <c r="R286" s="14"/>
      <c r="S286" s="14"/>
      <c r="T286" s="3"/>
      <c r="U286" s="4"/>
      <c r="V286" s="4"/>
      <c r="W286" s="4"/>
      <c r="X286" s="4"/>
      <c r="Y286" s="4"/>
      <c r="Z286" s="3"/>
      <c r="AB286" s="14"/>
      <c r="AC286" s="14"/>
      <c r="AD286" s="14"/>
      <c r="AE286" s="33"/>
      <c r="AG286" s="3"/>
    </row>
    <row r="287" spans="1:33" s="7" customFormat="1" x14ac:dyDescent="0.2">
      <c r="A287" s="5"/>
      <c r="B287" s="5"/>
      <c r="C287" s="5"/>
      <c r="D287" s="6"/>
      <c r="E287" s="5"/>
      <c r="F287" s="3"/>
      <c r="G287" s="5"/>
      <c r="H287" s="5"/>
      <c r="I287" s="5"/>
      <c r="J287" s="3"/>
      <c r="K287" s="5"/>
      <c r="L287" s="5"/>
      <c r="M287" s="5"/>
      <c r="N287" s="5"/>
      <c r="O287" s="5"/>
      <c r="P287" s="3"/>
      <c r="Q287" s="14"/>
      <c r="R287" s="14"/>
      <c r="S287" s="14"/>
      <c r="T287" s="3"/>
      <c r="U287" s="4"/>
      <c r="V287" s="4"/>
      <c r="W287" s="4"/>
      <c r="X287" s="4"/>
      <c r="Y287" s="4"/>
      <c r="Z287" s="3"/>
      <c r="AB287" s="14"/>
      <c r="AC287" s="14"/>
      <c r="AD287" s="14"/>
      <c r="AE287" s="33"/>
      <c r="AG287" s="3"/>
    </row>
    <row r="288" spans="1:33" s="7" customFormat="1" x14ac:dyDescent="0.2">
      <c r="A288" s="5"/>
      <c r="B288" s="5"/>
      <c r="C288" s="5"/>
      <c r="D288" s="6"/>
      <c r="E288" s="5"/>
      <c r="F288" s="3"/>
      <c r="G288" s="5"/>
      <c r="H288" s="5"/>
      <c r="I288" s="5"/>
      <c r="J288" s="3"/>
      <c r="K288" s="5"/>
      <c r="L288" s="5"/>
      <c r="M288" s="5"/>
      <c r="N288" s="5"/>
      <c r="O288" s="5"/>
      <c r="P288" s="3"/>
      <c r="Q288" s="14"/>
      <c r="R288" s="14"/>
      <c r="S288" s="14"/>
      <c r="T288" s="3"/>
      <c r="U288" s="4"/>
      <c r="V288" s="4"/>
      <c r="W288" s="4"/>
      <c r="X288" s="4"/>
      <c r="Y288" s="4"/>
      <c r="Z288" s="3"/>
      <c r="AB288" s="14"/>
      <c r="AC288" s="14"/>
      <c r="AD288" s="14"/>
      <c r="AE288" s="33"/>
      <c r="AG288" s="3"/>
    </row>
    <row r="289" spans="1:33" s="7" customFormat="1" x14ac:dyDescent="0.2">
      <c r="A289" s="5"/>
      <c r="B289" s="5"/>
      <c r="C289" s="5"/>
      <c r="D289" s="6"/>
      <c r="E289" s="5"/>
      <c r="F289" s="3"/>
      <c r="G289" s="5"/>
      <c r="H289" s="5"/>
      <c r="I289" s="5"/>
      <c r="J289" s="3"/>
      <c r="K289" s="5"/>
      <c r="L289" s="5"/>
      <c r="M289" s="5"/>
      <c r="N289" s="5"/>
      <c r="O289" s="5"/>
      <c r="P289" s="3"/>
      <c r="Q289" s="14"/>
      <c r="R289" s="14"/>
      <c r="S289" s="14"/>
      <c r="T289" s="3"/>
      <c r="U289" s="4"/>
      <c r="V289" s="4"/>
      <c r="W289" s="4"/>
      <c r="X289" s="4"/>
      <c r="Y289" s="4"/>
      <c r="Z289" s="3"/>
      <c r="AB289" s="14"/>
      <c r="AC289" s="14"/>
      <c r="AD289" s="14"/>
      <c r="AE289" s="33"/>
      <c r="AG289" s="3"/>
    </row>
    <row r="290" spans="1:33" s="7" customFormat="1" x14ac:dyDescent="0.2">
      <c r="A290" s="5"/>
      <c r="B290" s="5"/>
      <c r="C290" s="5"/>
      <c r="D290" s="6"/>
      <c r="E290" s="5"/>
      <c r="F290" s="3"/>
      <c r="G290" s="5"/>
      <c r="H290" s="5"/>
      <c r="I290" s="5"/>
      <c r="J290" s="3"/>
      <c r="K290" s="5"/>
      <c r="L290" s="5"/>
      <c r="M290" s="5"/>
      <c r="N290" s="5"/>
      <c r="O290" s="5"/>
      <c r="P290" s="3"/>
      <c r="Q290" s="14"/>
      <c r="R290" s="14"/>
      <c r="S290" s="14"/>
      <c r="T290" s="3"/>
      <c r="U290" s="4"/>
      <c r="V290" s="4"/>
      <c r="W290" s="4"/>
      <c r="X290" s="4"/>
      <c r="Y290" s="4"/>
      <c r="Z290" s="3"/>
      <c r="AB290" s="14"/>
      <c r="AC290" s="14"/>
      <c r="AD290" s="14"/>
      <c r="AE290" s="33"/>
      <c r="AG290" s="3"/>
    </row>
    <row r="291" spans="1:33" s="7" customFormat="1" x14ac:dyDescent="0.2">
      <c r="A291" s="5"/>
      <c r="B291" s="5"/>
      <c r="C291" s="5"/>
      <c r="D291" s="6"/>
      <c r="E291" s="5"/>
      <c r="F291" s="3"/>
      <c r="G291" s="5"/>
      <c r="H291" s="5"/>
      <c r="I291" s="5"/>
      <c r="J291" s="3"/>
      <c r="K291" s="5"/>
      <c r="L291" s="5"/>
      <c r="M291" s="5"/>
      <c r="N291" s="5"/>
      <c r="O291" s="5"/>
      <c r="P291" s="3"/>
      <c r="Q291" s="14"/>
      <c r="R291" s="14"/>
      <c r="S291" s="14"/>
      <c r="T291" s="3"/>
      <c r="U291" s="4"/>
      <c r="V291" s="4"/>
      <c r="W291" s="4"/>
      <c r="X291" s="4"/>
      <c r="Y291" s="4"/>
      <c r="Z291" s="3"/>
      <c r="AB291" s="14"/>
      <c r="AC291" s="14"/>
      <c r="AD291" s="14"/>
      <c r="AE291" s="33"/>
      <c r="AG291" s="3"/>
    </row>
    <row r="292" spans="1:33" s="7" customFormat="1" x14ac:dyDescent="0.2">
      <c r="A292" s="5"/>
      <c r="B292" s="5"/>
      <c r="C292" s="5"/>
      <c r="D292" s="6"/>
      <c r="E292" s="5"/>
      <c r="F292" s="3"/>
      <c r="G292" s="5"/>
      <c r="H292" s="5"/>
      <c r="I292" s="5"/>
      <c r="J292" s="3"/>
      <c r="K292" s="5"/>
      <c r="L292" s="5"/>
      <c r="M292" s="5"/>
      <c r="N292" s="5"/>
      <c r="O292" s="5"/>
      <c r="P292" s="3"/>
      <c r="Q292" s="14"/>
      <c r="R292" s="14"/>
      <c r="S292" s="14"/>
      <c r="T292" s="3"/>
      <c r="U292" s="4"/>
      <c r="V292" s="4"/>
      <c r="W292" s="4"/>
      <c r="X292" s="4"/>
      <c r="Y292" s="4"/>
      <c r="Z292" s="3"/>
      <c r="AB292" s="14"/>
      <c r="AC292" s="14"/>
      <c r="AD292" s="14"/>
      <c r="AE292" s="33"/>
      <c r="AG292" s="3"/>
    </row>
    <row r="293" spans="1:33" s="7" customFormat="1" x14ac:dyDescent="0.2">
      <c r="A293" s="5"/>
      <c r="B293" s="5"/>
      <c r="C293" s="5"/>
      <c r="D293" s="6"/>
      <c r="E293" s="5"/>
      <c r="F293" s="3"/>
      <c r="G293" s="5"/>
      <c r="H293" s="5"/>
      <c r="I293" s="5"/>
      <c r="J293" s="3"/>
      <c r="K293" s="5"/>
      <c r="L293" s="5"/>
      <c r="M293" s="5"/>
      <c r="N293" s="5"/>
      <c r="O293" s="5"/>
      <c r="P293" s="3"/>
      <c r="Q293" s="14"/>
      <c r="R293" s="14"/>
      <c r="S293" s="14"/>
      <c r="T293" s="3"/>
      <c r="U293" s="4"/>
      <c r="V293" s="4"/>
      <c r="W293" s="4"/>
      <c r="X293" s="4"/>
      <c r="Y293" s="4"/>
      <c r="Z293" s="3"/>
      <c r="AB293" s="14"/>
      <c r="AC293" s="14"/>
      <c r="AD293" s="14"/>
      <c r="AE293" s="33"/>
      <c r="AG293" s="3"/>
    </row>
    <row r="294" spans="1:33" s="7" customFormat="1" x14ac:dyDescent="0.2">
      <c r="A294" s="5"/>
      <c r="B294" s="5"/>
      <c r="C294" s="5"/>
      <c r="D294" s="6"/>
      <c r="E294" s="5"/>
      <c r="F294" s="3"/>
      <c r="G294" s="5"/>
      <c r="H294" s="5"/>
      <c r="I294" s="5"/>
      <c r="J294" s="3"/>
      <c r="K294" s="5"/>
      <c r="L294" s="5"/>
      <c r="M294" s="5"/>
      <c r="N294" s="5"/>
      <c r="O294" s="5"/>
      <c r="P294" s="3"/>
      <c r="Q294" s="14"/>
      <c r="R294" s="14"/>
      <c r="S294" s="14"/>
      <c r="T294" s="3"/>
      <c r="U294" s="4"/>
      <c r="V294" s="4"/>
      <c r="W294" s="4"/>
      <c r="X294" s="4"/>
      <c r="Y294" s="4"/>
      <c r="Z294" s="3"/>
      <c r="AB294" s="14"/>
      <c r="AC294" s="14"/>
      <c r="AD294" s="14"/>
      <c r="AE294" s="33"/>
      <c r="AG294" s="3"/>
    </row>
    <row r="295" spans="1:33" s="7" customFormat="1" x14ac:dyDescent="0.2">
      <c r="A295" s="5"/>
      <c r="B295" s="5"/>
      <c r="C295" s="5"/>
      <c r="D295" s="6"/>
      <c r="E295" s="5"/>
      <c r="F295" s="3"/>
      <c r="G295" s="5"/>
      <c r="H295" s="5"/>
      <c r="I295" s="5"/>
      <c r="J295" s="3"/>
      <c r="K295" s="5"/>
      <c r="L295" s="5"/>
      <c r="M295" s="5"/>
      <c r="N295" s="5"/>
      <c r="O295" s="5"/>
      <c r="P295" s="3"/>
      <c r="Q295" s="14"/>
      <c r="R295" s="14"/>
      <c r="S295" s="14"/>
      <c r="T295" s="3"/>
      <c r="U295" s="4"/>
      <c r="V295" s="4"/>
      <c r="W295" s="4"/>
      <c r="X295" s="4"/>
      <c r="Y295" s="4"/>
      <c r="Z295" s="3"/>
      <c r="AB295" s="14"/>
      <c r="AC295" s="14"/>
      <c r="AD295" s="14"/>
      <c r="AE295" s="33"/>
      <c r="AG295" s="3"/>
    </row>
    <row r="296" spans="1:33" s="7" customFormat="1" x14ac:dyDescent="0.2">
      <c r="A296" s="5"/>
      <c r="B296" s="5"/>
      <c r="C296" s="5"/>
      <c r="D296" s="6"/>
      <c r="E296" s="5"/>
      <c r="F296" s="3"/>
      <c r="G296" s="5"/>
      <c r="H296" s="5"/>
      <c r="I296" s="5"/>
      <c r="J296" s="3"/>
      <c r="K296" s="5"/>
      <c r="L296" s="5"/>
      <c r="M296" s="5"/>
      <c r="N296" s="5"/>
      <c r="O296" s="5"/>
      <c r="P296" s="3"/>
      <c r="Q296" s="14"/>
      <c r="R296" s="14"/>
      <c r="S296" s="14"/>
      <c r="T296" s="3"/>
      <c r="U296" s="4"/>
      <c r="V296" s="4"/>
      <c r="W296" s="4"/>
      <c r="X296" s="4"/>
      <c r="Y296" s="4"/>
      <c r="Z296" s="3"/>
      <c r="AB296" s="14"/>
      <c r="AC296" s="14"/>
      <c r="AD296" s="14"/>
      <c r="AE296" s="33"/>
      <c r="AG296" s="3"/>
    </row>
    <row r="297" spans="1:33" s="7" customFormat="1" x14ac:dyDescent="0.2">
      <c r="A297" s="5"/>
      <c r="B297" s="5"/>
      <c r="C297" s="5"/>
      <c r="D297" s="6"/>
      <c r="E297" s="5"/>
      <c r="F297" s="3"/>
      <c r="G297" s="5"/>
      <c r="H297" s="5"/>
      <c r="I297" s="5"/>
      <c r="J297" s="3"/>
      <c r="K297" s="5"/>
      <c r="L297" s="5"/>
      <c r="M297" s="5"/>
      <c r="N297" s="5"/>
      <c r="O297" s="5"/>
      <c r="P297" s="3"/>
      <c r="Q297" s="14"/>
      <c r="R297" s="14"/>
      <c r="S297" s="14"/>
      <c r="T297" s="3"/>
      <c r="U297" s="4"/>
      <c r="V297" s="4"/>
      <c r="W297" s="4"/>
      <c r="X297" s="4"/>
      <c r="Y297" s="4"/>
      <c r="Z297" s="3"/>
      <c r="AB297" s="14"/>
      <c r="AC297" s="14"/>
      <c r="AD297" s="14"/>
      <c r="AE297" s="33"/>
      <c r="AG297" s="3"/>
    </row>
    <row r="298" spans="1:33" s="7" customFormat="1" x14ac:dyDescent="0.2">
      <c r="A298" s="5"/>
      <c r="B298" s="5"/>
      <c r="C298" s="5"/>
      <c r="D298" s="6"/>
      <c r="E298" s="5"/>
      <c r="F298" s="3"/>
      <c r="G298" s="5"/>
      <c r="H298" s="5"/>
      <c r="I298" s="5"/>
      <c r="J298" s="3"/>
      <c r="K298" s="5"/>
      <c r="L298" s="5"/>
      <c r="M298" s="5"/>
      <c r="N298" s="5"/>
      <c r="O298" s="5"/>
      <c r="P298" s="3"/>
      <c r="Q298" s="14"/>
      <c r="R298" s="14"/>
      <c r="S298" s="14"/>
      <c r="T298" s="3"/>
      <c r="U298" s="4"/>
      <c r="V298" s="4"/>
      <c r="W298" s="4"/>
      <c r="X298" s="4"/>
      <c r="Y298" s="4"/>
      <c r="Z298" s="3"/>
      <c r="AB298" s="14"/>
      <c r="AC298" s="14"/>
      <c r="AD298" s="14"/>
      <c r="AE298" s="33"/>
      <c r="AG298" s="3"/>
    </row>
    <row r="299" spans="1:33" s="7" customFormat="1" x14ac:dyDescent="0.2">
      <c r="A299" s="5"/>
      <c r="B299" s="5"/>
      <c r="C299" s="5"/>
      <c r="D299" s="6"/>
      <c r="E299" s="5"/>
      <c r="F299" s="3"/>
      <c r="G299" s="5"/>
      <c r="H299" s="5"/>
      <c r="I299" s="5"/>
      <c r="J299" s="3"/>
      <c r="K299" s="5"/>
      <c r="L299" s="5"/>
      <c r="M299" s="5"/>
      <c r="N299" s="5"/>
      <c r="O299" s="5"/>
      <c r="P299" s="3"/>
      <c r="Q299" s="14"/>
      <c r="R299" s="14"/>
      <c r="S299" s="14"/>
      <c r="T299" s="3"/>
      <c r="U299" s="4"/>
      <c r="V299" s="4"/>
      <c r="W299" s="4"/>
      <c r="X299" s="4"/>
      <c r="Y299" s="4"/>
      <c r="Z299" s="3"/>
      <c r="AB299" s="14"/>
      <c r="AC299" s="14"/>
      <c r="AD299" s="14"/>
      <c r="AE299" s="33"/>
      <c r="AG299" s="3"/>
    </row>
    <row r="300" spans="1:33" s="7" customFormat="1" x14ac:dyDescent="0.2">
      <c r="A300" s="5"/>
      <c r="B300" s="5"/>
      <c r="C300" s="5"/>
      <c r="D300" s="6"/>
      <c r="E300" s="5"/>
      <c r="F300" s="3"/>
      <c r="G300" s="5"/>
      <c r="H300" s="5"/>
      <c r="I300" s="5"/>
      <c r="J300" s="3"/>
      <c r="K300" s="5"/>
      <c r="L300" s="5"/>
      <c r="M300" s="5"/>
      <c r="N300" s="5"/>
      <c r="O300" s="5"/>
      <c r="P300" s="3"/>
      <c r="Q300" s="14"/>
      <c r="R300" s="14"/>
      <c r="S300" s="14"/>
      <c r="T300" s="3"/>
      <c r="U300" s="4"/>
      <c r="V300" s="4"/>
      <c r="W300" s="4"/>
      <c r="X300" s="4"/>
      <c r="Y300" s="4"/>
      <c r="Z300" s="3"/>
      <c r="AB300" s="14"/>
      <c r="AC300" s="14"/>
      <c r="AD300" s="14"/>
      <c r="AE300" s="33"/>
      <c r="AG300" s="3"/>
    </row>
    <row r="301" spans="1:33" s="7" customFormat="1" x14ac:dyDescent="0.2">
      <c r="A301" s="5"/>
      <c r="B301" s="5"/>
      <c r="C301" s="5"/>
      <c r="D301" s="6"/>
      <c r="E301" s="5"/>
      <c r="F301" s="3"/>
      <c r="G301" s="5"/>
      <c r="H301" s="5"/>
      <c r="I301" s="5"/>
      <c r="J301" s="3"/>
      <c r="K301" s="5"/>
      <c r="L301" s="5"/>
      <c r="M301" s="5"/>
      <c r="N301" s="5"/>
      <c r="O301" s="5"/>
      <c r="P301" s="3"/>
      <c r="Q301" s="14"/>
      <c r="R301" s="14"/>
      <c r="S301" s="14"/>
      <c r="T301" s="3"/>
      <c r="U301" s="4"/>
      <c r="V301" s="4"/>
      <c r="W301" s="4"/>
      <c r="X301" s="4"/>
      <c r="Y301" s="4"/>
      <c r="Z301" s="3"/>
      <c r="AB301" s="14"/>
      <c r="AC301" s="14"/>
      <c r="AD301" s="14"/>
      <c r="AE301" s="33"/>
      <c r="AG301" s="3"/>
    </row>
    <row r="302" spans="1:33" s="7" customFormat="1" x14ac:dyDescent="0.2">
      <c r="A302" s="5"/>
      <c r="B302" s="5"/>
      <c r="C302" s="5"/>
      <c r="D302" s="6"/>
      <c r="E302" s="5"/>
      <c r="F302" s="3"/>
      <c r="G302" s="5"/>
      <c r="H302" s="5"/>
      <c r="I302" s="5"/>
      <c r="J302" s="3"/>
      <c r="K302" s="5"/>
      <c r="L302" s="5"/>
      <c r="M302" s="5"/>
      <c r="N302" s="5"/>
      <c r="O302" s="5"/>
      <c r="P302" s="3"/>
      <c r="Q302" s="14"/>
      <c r="R302" s="14"/>
      <c r="S302" s="14"/>
      <c r="T302" s="3"/>
      <c r="U302" s="4"/>
      <c r="V302" s="4"/>
      <c r="W302" s="4"/>
      <c r="X302" s="4"/>
      <c r="Y302" s="4"/>
      <c r="Z302" s="3"/>
      <c r="AB302" s="14"/>
      <c r="AC302" s="14"/>
      <c r="AD302" s="14"/>
      <c r="AE302" s="33"/>
      <c r="AG302" s="3"/>
    </row>
    <row r="303" spans="1:33" s="7" customFormat="1" x14ac:dyDescent="0.2">
      <c r="A303" s="5"/>
      <c r="B303" s="5"/>
      <c r="C303" s="5"/>
      <c r="D303" s="6"/>
      <c r="E303" s="5"/>
      <c r="F303" s="3"/>
      <c r="G303" s="5"/>
      <c r="H303" s="5"/>
      <c r="I303" s="5"/>
      <c r="J303" s="3"/>
      <c r="K303" s="5"/>
      <c r="L303" s="5"/>
      <c r="M303" s="5"/>
      <c r="N303" s="5"/>
      <c r="O303" s="5"/>
      <c r="P303" s="3"/>
      <c r="Q303" s="14"/>
      <c r="R303" s="14"/>
      <c r="S303" s="14"/>
      <c r="T303" s="3"/>
      <c r="U303" s="4"/>
      <c r="V303" s="4"/>
      <c r="W303" s="4"/>
      <c r="X303" s="4"/>
      <c r="Y303" s="4"/>
      <c r="Z303" s="3"/>
      <c r="AB303" s="14"/>
      <c r="AC303" s="14"/>
      <c r="AD303" s="14"/>
      <c r="AE303" s="33"/>
      <c r="AG303" s="3"/>
    </row>
    <row r="304" spans="1:33" s="7" customFormat="1" x14ac:dyDescent="0.2">
      <c r="A304" s="5"/>
      <c r="B304" s="5"/>
      <c r="C304" s="5"/>
      <c r="D304" s="6"/>
      <c r="E304" s="5"/>
      <c r="F304" s="3"/>
      <c r="G304" s="5"/>
      <c r="H304" s="5"/>
      <c r="I304" s="5"/>
      <c r="J304" s="3"/>
      <c r="K304" s="5"/>
      <c r="L304" s="5"/>
      <c r="M304" s="5"/>
      <c r="N304" s="5"/>
      <c r="O304" s="5"/>
      <c r="P304" s="3"/>
      <c r="Q304" s="14"/>
      <c r="R304" s="14"/>
      <c r="S304" s="14"/>
      <c r="T304" s="3"/>
      <c r="U304" s="4"/>
      <c r="V304" s="4"/>
      <c r="W304" s="4"/>
      <c r="X304" s="4"/>
      <c r="Y304" s="4"/>
      <c r="Z304" s="3"/>
      <c r="AB304" s="14"/>
      <c r="AC304" s="14"/>
      <c r="AD304" s="14"/>
      <c r="AE304" s="33"/>
      <c r="AG304" s="3"/>
    </row>
    <row r="305" spans="1:33" s="7" customFormat="1" x14ac:dyDescent="0.2">
      <c r="A305" s="5"/>
      <c r="B305" s="5"/>
      <c r="C305" s="5"/>
      <c r="D305" s="6"/>
      <c r="E305" s="5"/>
      <c r="F305" s="3"/>
      <c r="G305" s="5"/>
      <c r="H305" s="5"/>
      <c r="I305" s="5"/>
      <c r="J305" s="3"/>
      <c r="K305" s="5"/>
      <c r="L305" s="5"/>
      <c r="M305" s="5"/>
      <c r="N305" s="5"/>
      <c r="O305" s="5"/>
      <c r="P305" s="3"/>
      <c r="Q305" s="14"/>
      <c r="R305" s="14"/>
      <c r="S305" s="14"/>
      <c r="T305" s="3"/>
      <c r="U305" s="4"/>
      <c r="V305" s="4"/>
      <c r="W305" s="4"/>
      <c r="X305" s="4"/>
      <c r="Y305" s="4"/>
      <c r="Z305" s="3"/>
      <c r="AB305" s="14"/>
      <c r="AC305" s="14"/>
      <c r="AD305" s="14"/>
      <c r="AE305" s="33"/>
      <c r="AG305" s="3"/>
    </row>
    <row r="306" spans="1:33" s="7" customFormat="1" x14ac:dyDescent="0.2">
      <c r="A306" s="5"/>
      <c r="B306" s="5"/>
      <c r="C306" s="5"/>
      <c r="D306" s="6"/>
      <c r="E306" s="5"/>
      <c r="F306" s="3"/>
      <c r="G306" s="5"/>
      <c r="H306" s="5"/>
      <c r="I306" s="5"/>
      <c r="J306" s="3"/>
      <c r="K306" s="5"/>
      <c r="L306" s="5"/>
      <c r="M306" s="5"/>
      <c r="N306" s="5"/>
      <c r="O306" s="5"/>
      <c r="P306" s="3"/>
      <c r="Q306" s="14"/>
      <c r="R306" s="14"/>
      <c r="S306" s="14"/>
      <c r="T306" s="3"/>
      <c r="U306" s="4"/>
      <c r="V306" s="4"/>
      <c r="W306" s="4"/>
      <c r="X306" s="4"/>
      <c r="Y306" s="4"/>
      <c r="Z306" s="3"/>
      <c r="AB306" s="14"/>
      <c r="AC306" s="14"/>
      <c r="AD306" s="14"/>
      <c r="AE306" s="33"/>
      <c r="AG306" s="3"/>
    </row>
    <row r="307" spans="1:33" s="7" customFormat="1" x14ac:dyDescent="0.2">
      <c r="A307" s="5"/>
      <c r="B307" s="5"/>
      <c r="C307" s="5"/>
      <c r="D307" s="6"/>
      <c r="E307" s="5"/>
      <c r="F307" s="3"/>
      <c r="G307" s="5"/>
      <c r="H307" s="5"/>
      <c r="I307" s="5"/>
      <c r="J307" s="3"/>
      <c r="K307" s="5"/>
      <c r="L307" s="5"/>
      <c r="M307" s="5"/>
      <c r="N307" s="5"/>
      <c r="O307" s="5"/>
      <c r="P307" s="3"/>
      <c r="Q307" s="14"/>
      <c r="R307" s="14"/>
      <c r="S307" s="14"/>
      <c r="T307" s="3"/>
      <c r="U307" s="4"/>
      <c r="V307" s="4"/>
      <c r="W307" s="4"/>
      <c r="X307" s="4"/>
      <c r="Y307" s="4"/>
      <c r="Z307" s="3"/>
      <c r="AB307" s="14"/>
      <c r="AC307" s="14"/>
      <c r="AD307" s="14"/>
      <c r="AE307" s="33"/>
      <c r="AG307" s="3"/>
    </row>
    <row r="308" spans="1:33" s="7" customFormat="1" x14ac:dyDescent="0.2">
      <c r="A308" s="5"/>
      <c r="B308" s="5"/>
      <c r="C308" s="5"/>
      <c r="D308" s="6"/>
      <c r="E308" s="5"/>
      <c r="F308" s="3"/>
      <c r="G308" s="5"/>
      <c r="H308" s="5"/>
      <c r="I308" s="5"/>
      <c r="J308" s="3"/>
      <c r="K308" s="5"/>
      <c r="L308" s="5"/>
      <c r="M308" s="5"/>
      <c r="N308" s="5"/>
      <c r="O308" s="5"/>
      <c r="P308" s="3"/>
      <c r="Q308" s="14"/>
      <c r="R308" s="14"/>
      <c r="S308" s="14"/>
      <c r="T308" s="3"/>
      <c r="U308" s="4"/>
      <c r="V308" s="4"/>
      <c r="W308" s="4"/>
      <c r="X308" s="4"/>
      <c r="Y308" s="4"/>
      <c r="Z308" s="3"/>
      <c r="AB308" s="14"/>
      <c r="AC308" s="14"/>
      <c r="AD308" s="14"/>
      <c r="AE308" s="33"/>
      <c r="AG308" s="3"/>
    </row>
    <row r="309" spans="1:33" s="7" customFormat="1" x14ac:dyDescent="0.2">
      <c r="A309" s="5"/>
      <c r="B309" s="5"/>
      <c r="C309" s="5"/>
      <c r="D309" s="6"/>
      <c r="E309" s="5"/>
      <c r="F309" s="3"/>
      <c r="G309" s="5"/>
      <c r="H309" s="5"/>
      <c r="I309" s="5"/>
      <c r="J309" s="3"/>
      <c r="K309" s="5"/>
      <c r="L309" s="5"/>
      <c r="M309" s="5"/>
      <c r="N309" s="5"/>
      <c r="O309" s="5"/>
      <c r="P309" s="3"/>
      <c r="Q309" s="14"/>
      <c r="R309" s="14"/>
      <c r="S309" s="14"/>
      <c r="T309" s="3"/>
      <c r="U309" s="4"/>
      <c r="V309" s="4"/>
      <c r="W309" s="4"/>
      <c r="X309" s="4"/>
      <c r="Y309" s="4"/>
      <c r="Z309" s="3"/>
      <c r="AB309" s="14"/>
      <c r="AC309" s="14"/>
      <c r="AD309" s="14"/>
      <c r="AE309" s="33"/>
      <c r="AG309" s="3"/>
    </row>
    <row r="310" spans="1:33" s="7" customFormat="1" x14ac:dyDescent="0.2">
      <c r="A310" s="5"/>
      <c r="B310" s="5"/>
      <c r="C310" s="5"/>
      <c r="D310" s="6"/>
      <c r="E310" s="5"/>
      <c r="F310" s="3"/>
      <c r="G310" s="5"/>
      <c r="H310" s="5"/>
      <c r="I310" s="5"/>
      <c r="J310" s="3"/>
      <c r="K310" s="5"/>
      <c r="L310" s="5"/>
      <c r="M310" s="5"/>
      <c r="N310" s="5"/>
      <c r="O310" s="5"/>
      <c r="P310" s="3"/>
      <c r="Q310" s="14"/>
      <c r="R310" s="14"/>
      <c r="S310" s="14"/>
      <c r="T310" s="3"/>
      <c r="U310" s="4"/>
      <c r="V310" s="4"/>
      <c r="W310" s="4"/>
      <c r="X310" s="4"/>
      <c r="Y310" s="4"/>
      <c r="Z310" s="3"/>
      <c r="AB310" s="14"/>
      <c r="AC310" s="14"/>
      <c r="AD310" s="14"/>
      <c r="AE310" s="33"/>
      <c r="AG310" s="3"/>
    </row>
    <row r="311" spans="1:33" s="7" customFormat="1" x14ac:dyDescent="0.2">
      <c r="A311" s="5"/>
      <c r="B311" s="5"/>
      <c r="C311" s="5"/>
      <c r="D311" s="6"/>
      <c r="E311" s="5"/>
      <c r="F311" s="3"/>
      <c r="G311" s="5"/>
      <c r="H311" s="5"/>
      <c r="I311" s="5"/>
      <c r="J311" s="3"/>
      <c r="K311" s="5"/>
      <c r="L311" s="5"/>
      <c r="M311" s="5"/>
      <c r="N311" s="5"/>
      <c r="O311" s="5"/>
      <c r="P311" s="3"/>
      <c r="Q311" s="14"/>
      <c r="R311" s="14"/>
      <c r="S311" s="14"/>
      <c r="T311" s="3"/>
      <c r="U311" s="4"/>
      <c r="V311" s="4"/>
      <c r="W311" s="4"/>
      <c r="X311" s="4"/>
      <c r="Y311" s="4"/>
      <c r="Z311" s="3"/>
      <c r="AB311" s="14"/>
      <c r="AC311" s="14"/>
      <c r="AD311" s="14"/>
      <c r="AE311" s="33"/>
      <c r="AG311" s="3"/>
    </row>
    <row r="312" spans="1:33" s="7" customFormat="1" x14ac:dyDescent="0.2">
      <c r="A312" s="5"/>
      <c r="B312" s="5"/>
      <c r="C312" s="5"/>
      <c r="D312" s="6"/>
      <c r="E312" s="5"/>
      <c r="F312" s="3"/>
      <c r="G312" s="5"/>
      <c r="H312" s="5"/>
      <c r="I312" s="5"/>
      <c r="J312" s="3"/>
      <c r="K312" s="5"/>
      <c r="L312" s="5"/>
      <c r="M312" s="5"/>
      <c r="N312" s="5"/>
      <c r="O312" s="5"/>
      <c r="P312" s="3"/>
      <c r="Q312" s="14"/>
      <c r="R312" s="14"/>
      <c r="S312" s="14"/>
      <c r="T312" s="3"/>
      <c r="U312" s="4"/>
      <c r="V312" s="4"/>
      <c r="W312" s="4"/>
      <c r="X312" s="4"/>
      <c r="Y312" s="4"/>
      <c r="Z312" s="3"/>
      <c r="AB312" s="14"/>
      <c r="AC312" s="14"/>
      <c r="AD312" s="14"/>
      <c r="AE312" s="33"/>
      <c r="AG312" s="3"/>
    </row>
    <row r="313" spans="1:33" s="7" customFormat="1" x14ac:dyDescent="0.2">
      <c r="A313" s="5"/>
      <c r="B313" s="5"/>
      <c r="C313" s="5"/>
      <c r="D313" s="6"/>
      <c r="E313" s="5"/>
      <c r="F313" s="3"/>
      <c r="G313" s="5"/>
      <c r="H313" s="5"/>
      <c r="I313" s="5"/>
      <c r="J313" s="3"/>
      <c r="K313" s="5"/>
      <c r="L313" s="5"/>
      <c r="M313" s="5"/>
      <c r="N313" s="5"/>
      <c r="O313" s="5"/>
      <c r="P313" s="3"/>
      <c r="Q313" s="14"/>
      <c r="R313" s="14"/>
      <c r="S313" s="14"/>
      <c r="T313" s="3"/>
      <c r="U313" s="4"/>
      <c r="V313" s="4"/>
      <c r="W313" s="4"/>
      <c r="X313" s="4"/>
      <c r="Y313" s="4"/>
      <c r="Z313" s="3"/>
      <c r="AB313" s="14"/>
      <c r="AC313" s="14"/>
      <c r="AD313" s="14"/>
      <c r="AE313" s="33"/>
      <c r="AG313" s="3"/>
    </row>
    <row r="314" spans="1:33" s="7" customFormat="1" x14ac:dyDescent="0.2">
      <c r="A314" s="5"/>
      <c r="B314" s="5"/>
      <c r="C314" s="5"/>
      <c r="D314" s="6"/>
      <c r="E314" s="5"/>
      <c r="F314" s="3"/>
      <c r="G314" s="5"/>
      <c r="H314" s="5"/>
      <c r="I314" s="5"/>
      <c r="J314" s="3"/>
      <c r="K314" s="5"/>
      <c r="L314" s="5"/>
      <c r="M314" s="5"/>
      <c r="N314" s="5"/>
      <c r="O314" s="5"/>
      <c r="P314" s="3"/>
      <c r="Q314" s="14"/>
      <c r="R314" s="14"/>
      <c r="S314" s="14"/>
      <c r="T314" s="3"/>
      <c r="U314" s="4"/>
      <c r="V314" s="4"/>
      <c r="W314" s="4"/>
      <c r="X314" s="4"/>
      <c r="Y314" s="4"/>
      <c r="Z314" s="3"/>
      <c r="AB314" s="14"/>
      <c r="AC314" s="14"/>
      <c r="AD314" s="14"/>
      <c r="AE314" s="33"/>
      <c r="AG314" s="3"/>
    </row>
    <row r="315" spans="1:33" s="7" customFormat="1" x14ac:dyDescent="0.2">
      <c r="A315" s="5"/>
      <c r="B315" s="5"/>
      <c r="C315" s="5"/>
      <c r="D315" s="6"/>
      <c r="E315" s="5"/>
      <c r="F315" s="3"/>
      <c r="G315" s="5"/>
      <c r="H315" s="5"/>
      <c r="I315" s="5"/>
      <c r="J315" s="3"/>
      <c r="K315" s="5"/>
      <c r="L315" s="5"/>
      <c r="M315" s="5"/>
      <c r="N315" s="5"/>
      <c r="O315" s="5"/>
      <c r="P315" s="3"/>
      <c r="Q315" s="14"/>
      <c r="R315" s="14"/>
      <c r="S315" s="14"/>
      <c r="T315" s="3"/>
      <c r="U315" s="4"/>
      <c r="V315" s="4"/>
      <c r="W315" s="4"/>
      <c r="X315" s="4"/>
      <c r="Y315" s="4"/>
      <c r="Z315" s="3"/>
      <c r="AB315" s="14"/>
      <c r="AC315" s="14"/>
      <c r="AD315" s="14"/>
      <c r="AE315" s="33"/>
      <c r="AG315" s="3"/>
    </row>
    <row r="316" spans="1:33" s="7" customFormat="1" x14ac:dyDescent="0.2">
      <c r="A316" s="5"/>
      <c r="B316" s="5"/>
      <c r="C316" s="5"/>
      <c r="D316" s="6"/>
      <c r="E316" s="5"/>
      <c r="F316" s="3"/>
      <c r="G316" s="5"/>
      <c r="H316" s="5"/>
      <c r="I316" s="5"/>
      <c r="J316" s="3"/>
      <c r="K316" s="5"/>
      <c r="L316" s="5"/>
      <c r="M316" s="5"/>
      <c r="N316" s="5"/>
      <c r="O316" s="5"/>
      <c r="P316" s="3"/>
      <c r="Q316" s="14"/>
      <c r="R316" s="14"/>
      <c r="S316" s="14"/>
      <c r="T316" s="3"/>
      <c r="U316" s="4"/>
      <c r="V316" s="4"/>
      <c r="W316" s="4"/>
      <c r="X316" s="4"/>
      <c r="Y316" s="4"/>
      <c r="Z316" s="3"/>
      <c r="AB316" s="14"/>
      <c r="AC316" s="14"/>
      <c r="AD316" s="14"/>
      <c r="AE316" s="33"/>
      <c r="AG316" s="3"/>
    </row>
    <row r="317" spans="1:33" s="7" customFormat="1" x14ac:dyDescent="0.2">
      <c r="A317" s="5"/>
      <c r="B317" s="5"/>
      <c r="C317" s="5"/>
      <c r="D317" s="6"/>
      <c r="E317" s="5"/>
      <c r="F317" s="3"/>
      <c r="G317" s="5"/>
      <c r="H317" s="5"/>
      <c r="I317" s="5"/>
      <c r="J317" s="3"/>
      <c r="K317" s="5"/>
      <c r="L317" s="5"/>
      <c r="M317" s="5"/>
      <c r="N317" s="5"/>
      <c r="O317" s="5"/>
      <c r="P317" s="3"/>
      <c r="Q317" s="14"/>
      <c r="R317" s="14"/>
      <c r="S317" s="14"/>
      <c r="T317" s="3"/>
      <c r="U317" s="4"/>
      <c r="V317" s="4"/>
      <c r="W317" s="4"/>
      <c r="X317" s="4"/>
      <c r="Y317" s="4"/>
      <c r="Z317" s="3"/>
      <c r="AB317" s="14"/>
      <c r="AC317" s="14"/>
      <c r="AD317" s="14"/>
      <c r="AE317" s="33"/>
      <c r="AG317" s="3"/>
    </row>
    <row r="318" spans="1:33" s="7" customFormat="1" x14ac:dyDescent="0.2">
      <c r="A318" s="5"/>
      <c r="B318" s="5"/>
      <c r="C318" s="5"/>
      <c r="D318" s="6"/>
      <c r="E318" s="5"/>
      <c r="F318" s="3"/>
      <c r="G318" s="5"/>
      <c r="H318" s="5"/>
      <c r="I318" s="5"/>
      <c r="J318" s="3"/>
      <c r="K318" s="5"/>
      <c r="L318" s="5"/>
      <c r="M318" s="5"/>
      <c r="N318" s="5"/>
      <c r="O318" s="5"/>
      <c r="P318" s="3"/>
      <c r="Q318" s="14"/>
      <c r="R318" s="14"/>
      <c r="S318" s="14"/>
      <c r="T318" s="3"/>
      <c r="U318" s="4"/>
      <c r="V318" s="4"/>
      <c r="W318" s="4"/>
      <c r="X318" s="4"/>
      <c r="Y318" s="4"/>
      <c r="Z318" s="3"/>
      <c r="AB318" s="14"/>
      <c r="AC318" s="14"/>
      <c r="AD318" s="14"/>
      <c r="AE318" s="33"/>
      <c r="AG318" s="3"/>
    </row>
    <row r="319" spans="1:33" s="7" customFormat="1" x14ac:dyDescent="0.2">
      <c r="A319" s="5"/>
      <c r="B319" s="5"/>
      <c r="C319" s="5"/>
      <c r="D319" s="6"/>
      <c r="E319" s="5"/>
      <c r="F319" s="3"/>
      <c r="G319" s="5"/>
      <c r="H319" s="5"/>
      <c r="I319" s="5"/>
      <c r="J319" s="3"/>
      <c r="K319" s="5"/>
      <c r="L319" s="5"/>
      <c r="M319" s="5"/>
      <c r="N319" s="5"/>
      <c r="O319" s="5"/>
      <c r="P319" s="3"/>
      <c r="Q319" s="14"/>
      <c r="R319" s="14"/>
      <c r="S319" s="14"/>
      <c r="T319" s="3"/>
      <c r="U319" s="4"/>
      <c r="V319" s="4"/>
      <c r="W319" s="4"/>
      <c r="X319" s="4"/>
      <c r="Y319" s="4"/>
      <c r="Z319" s="3"/>
      <c r="AB319" s="14"/>
      <c r="AC319" s="14"/>
      <c r="AD319" s="14"/>
      <c r="AE319" s="33"/>
      <c r="AG319" s="3"/>
    </row>
    <row r="320" spans="1:33" s="7" customFormat="1" x14ac:dyDescent="0.2">
      <c r="A320" s="5"/>
      <c r="B320" s="5"/>
      <c r="C320" s="5"/>
      <c r="D320" s="6"/>
      <c r="E320" s="5"/>
      <c r="F320" s="3"/>
      <c r="G320" s="5"/>
      <c r="H320" s="5"/>
      <c r="I320" s="5"/>
      <c r="J320" s="3"/>
      <c r="K320" s="5"/>
      <c r="L320" s="5"/>
      <c r="M320" s="5"/>
      <c r="N320" s="5"/>
      <c r="O320" s="5"/>
      <c r="P320" s="3"/>
      <c r="Q320" s="14"/>
      <c r="R320" s="14"/>
      <c r="S320" s="14"/>
      <c r="T320" s="3"/>
      <c r="U320" s="4"/>
      <c r="V320" s="4"/>
      <c r="W320" s="4"/>
      <c r="X320" s="4"/>
      <c r="Y320" s="4"/>
      <c r="Z320" s="3"/>
      <c r="AB320" s="14"/>
      <c r="AC320" s="14"/>
      <c r="AD320" s="14"/>
      <c r="AE320" s="33"/>
      <c r="AG320" s="3"/>
    </row>
    <row r="321" spans="1:33" s="7" customFormat="1" x14ac:dyDescent="0.2">
      <c r="A321" s="5"/>
      <c r="B321" s="5"/>
      <c r="C321" s="5"/>
      <c r="D321" s="6"/>
      <c r="E321" s="5"/>
      <c r="F321" s="3"/>
      <c r="G321" s="5"/>
      <c r="H321" s="5"/>
      <c r="I321" s="5"/>
      <c r="J321" s="3"/>
      <c r="K321" s="5"/>
      <c r="L321" s="5"/>
      <c r="M321" s="5"/>
      <c r="N321" s="5"/>
      <c r="O321" s="5"/>
      <c r="P321" s="3"/>
      <c r="Q321" s="14"/>
      <c r="R321" s="14"/>
      <c r="S321" s="14"/>
      <c r="T321" s="3"/>
      <c r="U321" s="4"/>
      <c r="V321" s="4"/>
      <c r="W321" s="4"/>
      <c r="X321" s="4"/>
      <c r="Y321" s="4"/>
      <c r="Z321" s="3"/>
      <c r="AB321" s="14"/>
      <c r="AC321" s="14"/>
      <c r="AD321" s="14"/>
      <c r="AE321" s="33"/>
      <c r="AG321" s="3"/>
    </row>
    <row r="322" spans="1:33" s="7" customFormat="1" x14ac:dyDescent="0.2">
      <c r="A322" s="5"/>
      <c r="B322" s="5"/>
      <c r="C322" s="5"/>
      <c r="D322" s="6"/>
      <c r="E322" s="5"/>
      <c r="F322" s="3"/>
      <c r="G322" s="5"/>
      <c r="H322" s="5"/>
      <c r="I322" s="5"/>
      <c r="J322" s="3"/>
      <c r="K322" s="5"/>
      <c r="L322" s="5"/>
      <c r="M322" s="5"/>
      <c r="N322" s="5"/>
      <c r="O322" s="5"/>
      <c r="P322" s="3"/>
      <c r="Q322" s="14"/>
      <c r="R322" s="14"/>
      <c r="S322" s="14"/>
      <c r="T322" s="3"/>
      <c r="U322" s="4"/>
      <c r="V322" s="4"/>
      <c r="W322" s="4"/>
      <c r="X322" s="4"/>
      <c r="Y322" s="4"/>
      <c r="Z322" s="3"/>
      <c r="AB322" s="14"/>
      <c r="AC322" s="14"/>
      <c r="AD322" s="14"/>
      <c r="AE322" s="33"/>
      <c r="AG322" s="3"/>
    </row>
    <row r="323" spans="1:33" s="7" customFormat="1" x14ac:dyDescent="0.2">
      <c r="A323" s="5"/>
      <c r="B323" s="5"/>
      <c r="C323" s="5"/>
      <c r="D323" s="6"/>
      <c r="E323" s="5"/>
      <c r="F323" s="3"/>
      <c r="G323" s="5"/>
      <c r="H323" s="5"/>
      <c r="I323" s="5"/>
      <c r="J323" s="3"/>
      <c r="K323" s="5"/>
      <c r="L323" s="5"/>
      <c r="M323" s="5"/>
      <c r="N323" s="5"/>
      <c r="O323" s="5"/>
      <c r="P323" s="3"/>
      <c r="Q323" s="14"/>
      <c r="R323" s="14"/>
      <c r="S323" s="14"/>
      <c r="T323" s="3"/>
      <c r="U323" s="4"/>
      <c r="V323" s="4"/>
      <c r="W323" s="4"/>
      <c r="X323" s="4"/>
      <c r="Y323" s="4"/>
      <c r="Z323" s="3"/>
      <c r="AB323" s="14"/>
      <c r="AC323" s="14"/>
      <c r="AD323" s="14"/>
      <c r="AE323" s="33"/>
      <c r="AG323" s="3"/>
    </row>
    <row r="324" spans="1:33" s="7" customFormat="1" x14ac:dyDescent="0.2">
      <c r="A324" s="5"/>
      <c r="B324" s="5"/>
      <c r="C324" s="5"/>
      <c r="D324" s="6"/>
      <c r="E324" s="5"/>
      <c r="F324" s="3"/>
      <c r="G324" s="5"/>
      <c r="H324" s="5"/>
      <c r="I324" s="5"/>
      <c r="J324" s="3"/>
      <c r="K324" s="5"/>
      <c r="L324" s="5"/>
      <c r="M324" s="5"/>
      <c r="N324" s="5"/>
      <c r="O324" s="5"/>
      <c r="P324" s="3"/>
      <c r="Q324" s="14"/>
      <c r="R324" s="14"/>
      <c r="S324" s="14"/>
      <c r="T324" s="3"/>
      <c r="U324" s="4"/>
      <c r="V324" s="4"/>
      <c r="W324" s="4"/>
      <c r="X324" s="4"/>
      <c r="Y324" s="4"/>
      <c r="Z324" s="3"/>
      <c r="AB324" s="14"/>
      <c r="AC324" s="14"/>
      <c r="AD324" s="14"/>
      <c r="AE324" s="33"/>
      <c r="AG324" s="3"/>
    </row>
    <row r="325" spans="1:33" s="7" customFormat="1" x14ac:dyDescent="0.2">
      <c r="A325" s="5"/>
      <c r="B325" s="5"/>
      <c r="C325" s="5"/>
      <c r="D325" s="6"/>
      <c r="E325" s="5"/>
      <c r="F325" s="3"/>
      <c r="G325" s="5"/>
      <c r="H325" s="5"/>
      <c r="I325" s="5"/>
      <c r="J325" s="3"/>
      <c r="K325" s="5"/>
      <c r="L325" s="5"/>
      <c r="M325" s="5"/>
      <c r="N325" s="5"/>
      <c r="O325" s="5"/>
      <c r="P325" s="3"/>
      <c r="Q325" s="14"/>
      <c r="R325" s="14"/>
      <c r="S325" s="14"/>
      <c r="T325" s="3"/>
      <c r="U325" s="4"/>
      <c r="V325" s="4"/>
      <c r="W325" s="4"/>
      <c r="X325" s="4"/>
      <c r="Y325" s="4"/>
      <c r="Z325" s="3"/>
      <c r="AB325" s="14"/>
      <c r="AC325" s="14"/>
      <c r="AD325" s="14"/>
      <c r="AE325" s="33"/>
      <c r="AG325" s="3"/>
    </row>
    <row r="326" spans="1:33" s="7" customFormat="1" x14ac:dyDescent="0.2">
      <c r="A326" s="5"/>
      <c r="B326" s="5"/>
      <c r="C326" s="5"/>
      <c r="D326" s="6"/>
      <c r="E326" s="5"/>
      <c r="F326" s="3"/>
      <c r="G326" s="5"/>
      <c r="H326" s="5"/>
      <c r="I326" s="5"/>
      <c r="J326" s="3"/>
      <c r="K326" s="5"/>
      <c r="L326" s="5"/>
      <c r="M326" s="5"/>
      <c r="N326" s="5"/>
      <c r="O326" s="5"/>
      <c r="P326" s="3"/>
      <c r="Q326" s="14"/>
      <c r="R326" s="14"/>
      <c r="S326" s="14"/>
      <c r="T326" s="3"/>
      <c r="U326" s="4"/>
      <c r="V326" s="4"/>
      <c r="W326" s="4"/>
      <c r="X326" s="4"/>
      <c r="Y326" s="4"/>
      <c r="Z326" s="3"/>
      <c r="AB326" s="14"/>
      <c r="AC326" s="14"/>
      <c r="AD326" s="14"/>
      <c r="AE326" s="33"/>
      <c r="AG326" s="3"/>
    </row>
    <row r="327" spans="1:33" s="7" customFormat="1" x14ac:dyDescent="0.2">
      <c r="A327" s="5"/>
      <c r="B327" s="5"/>
      <c r="C327" s="5"/>
      <c r="D327" s="6"/>
      <c r="E327" s="5"/>
      <c r="F327" s="3"/>
      <c r="G327" s="5"/>
      <c r="H327" s="5"/>
      <c r="I327" s="5"/>
      <c r="J327" s="3"/>
      <c r="K327" s="5"/>
      <c r="L327" s="5"/>
      <c r="M327" s="5"/>
      <c r="N327" s="5"/>
      <c r="O327" s="5"/>
      <c r="P327" s="3"/>
      <c r="Q327" s="14"/>
      <c r="R327" s="14"/>
      <c r="S327" s="14"/>
      <c r="T327" s="3"/>
      <c r="U327" s="4"/>
      <c r="V327" s="4"/>
      <c r="W327" s="4"/>
      <c r="X327" s="4"/>
      <c r="Y327" s="4"/>
      <c r="Z327" s="3"/>
      <c r="AB327" s="14"/>
      <c r="AC327" s="14"/>
      <c r="AD327" s="14"/>
      <c r="AE327" s="33"/>
      <c r="AG327" s="3"/>
    </row>
    <row r="328" spans="1:33" s="7" customFormat="1" x14ac:dyDescent="0.2">
      <c r="A328" s="5"/>
      <c r="B328" s="5"/>
      <c r="C328" s="5"/>
      <c r="D328" s="6"/>
      <c r="E328" s="5"/>
      <c r="F328" s="3"/>
      <c r="G328" s="5"/>
      <c r="H328" s="5"/>
      <c r="I328" s="5"/>
      <c r="J328" s="3"/>
      <c r="K328" s="5"/>
      <c r="L328" s="5"/>
      <c r="M328" s="5"/>
      <c r="N328" s="5"/>
      <c r="O328" s="5"/>
      <c r="P328" s="3"/>
      <c r="Q328" s="14"/>
      <c r="R328" s="14"/>
      <c r="S328" s="14"/>
      <c r="T328" s="3"/>
      <c r="U328" s="4"/>
      <c r="V328" s="4"/>
      <c r="W328" s="4"/>
      <c r="X328" s="4"/>
      <c r="Y328" s="4"/>
      <c r="Z328" s="3"/>
      <c r="AB328" s="14"/>
      <c r="AC328" s="14"/>
      <c r="AD328" s="14"/>
      <c r="AE328" s="33"/>
      <c r="AG328" s="3"/>
    </row>
    <row r="329" spans="1:33" s="7" customFormat="1" x14ac:dyDescent="0.2">
      <c r="A329" s="5"/>
      <c r="B329" s="5"/>
      <c r="C329" s="5"/>
      <c r="D329" s="6"/>
      <c r="E329" s="5"/>
      <c r="F329" s="3"/>
      <c r="G329" s="5"/>
      <c r="H329" s="5"/>
      <c r="I329" s="5"/>
      <c r="J329" s="3"/>
      <c r="K329" s="5"/>
      <c r="L329" s="5"/>
      <c r="M329" s="5"/>
      <c r="N329" s="5"/>
      <c r="O329" s="5"/>
      <c r="P329" s="3"/>
      <c r="Q329" s="14"/>
      <c r="R329" s="14"/>
      <c r="S329" s="14"/>
      <c r="T329" s="3"/>
      <c r="U329" s="4"/>
      <c r="V329" s="4"/>
      <c r="W329" s="4"/>
      <c r="X329" s="4"/>
      <c r="Y329" s="4"/>
      <c r="Z329" s="3"/>
      <c r="AB329" s="14"/>
      <c r="AC329" s="14"/>
      <c r="AD329" s="14"/>
      <c r="AE329" s="33"/>
      <c r="AG329" s="3"/>
    </row>
    <row r="330" spans="1:33" s="7" customFormat="1" x14ac:dyDescent="0.2">
      <c r="A330" s="5"/>
      <c r="B330" s="5"/>
      <c r="C330" s="5"/>
      <c r="D330" s="6"/>
      <c r="E330" s="5"/>
      <c r="F330" s="3"/>
      <c r="G330" s="5"/>
      <c r="H330" s="5"/>
      <c r="I330" s="5"/>
      <c r="J330" s="3"/>
      <c r="K330" s="5"/>
      <c r="L330" s="5"/>
      <c r="M330" s="5"/>
      <c r="N330" s="5"/>
      <c r="O330" s="5"/>
      <c r="P330" s="3"/>
      <c r="Q330" s="14"/>
      <c r="R330" s="14"/>
      <c r="S330" s="14"/>
      <c r="T330" s="3"/>
      <c r="U330" s="4"/>
      <c r="V330" s="4"/>
      <c r="W330" s="4"/>
      <c r="X330" s="4"/>
      <c r="Y330" s="4"/>
      <c r="Z330" s="3"/>
      <c r="AB330" s="14"/>
      <c r="AC330" s="14"/>
      <c r="AD330" s="14"/>
      <c r="AE330" s="33"/>
      <c r="AG330" s="3"/>
    </row>
    <row r="331" spans="1:33" s="7" customFormat="1" x14ac:dyDescent="0.2">
      <c r="A331" s="5"/>
      <c r="B331" s="5"/>
      <c r="C331" s="5"/>
      <c r="D331" s="6"/>
      <c r="E331" s="5"/>
      <c r="F331" s="3"/>
      <c r="G331" s="5"/>
      <c r="H331" s="5"/>
      <c r="I331" s="5"/>
      <c r="J331" s="3"/>
      <c r="K331" s="5"/>
      <c r="L331" s="5"/>
      <c r="M331" s="5"/>
      <c r="N331" s="5"/>
      <c r="O331" s="5"/>
      <c r="P331" s="3"/>
      <c r="Q331" s="14"/>
      <c r="R331" s="14"/>
      <c r="S331" s="14"/>
      <c r="T331" s="3"/>
      <c r="U331" s="4"/>
      <c r="V331" s="4"/>
      <c r="W331" s="4"/>
      <c r="X331" s="4"/>
      <c r="Y331" s="4"/>
      <c r="Z331" s="3"/>
      <c r="AB331" s="14"/>
      <c r="AC331" s="14"/>
      <c r="AD331" s="14"/>
      <c r="AE331" s="33"/>
      <c r="AG331" s="3"/>
    </row>
    <row r="332" spans="1:33" s="7" customFormat="1" x14ac:dyDescent="0.2">
      <c r="A332" s="5"/>
      <c r="B332" s="5"/>
      <c r="C332" s="5"/>
      <c r="D332" s="6"/>
      <c r="E332" s="5"/>
      <c r="F332" s="3"/>
      <c r="G332" s="5"/>
      <c r="H332" s="5"/>
      <c r="I332" s="5"/>
      <c r="J332" s="3"/>
      <c r="K332" s="5"/>
      <c r="L332" s="5"/>
      <c r="M332" s="5"/>
      <c r="N332" s="5"/>
      <c r="O332" s="5"/>
      <c r="P332" s="3"/>
      <c r="Q332" s="14"/>
      <c r="R332" s="14"/>
      <c r="S332" s="14"/>
      <c r="T332" s="3"/>
      <c r="U332" s="4"/>
      <c r="V332" s="4"/>
      <c r="W332" s="4"/>
      <c r="X332" s="4"/>
      <c r="Y332" s="4"/>
      <c r="Z332" s="3"/>
      <c r="AB332" s="14"/>
      <c r="AC332" s="14"/>
      <c r="AD332" s="14"/>
      <c r="AE332" s="33"/>
      <c r="AG332" s="3"/>
    </row>
    <row r="333" spans="1:33" s="7" customFormat="1" x14ac:dyDescent="0.2">
      <c r="A333" s="5"/>
      <c r="B333" s="5"/>
      <c r="C333" s="5"/>
      <c r="D333" s="6"/>
      <c r="E333" s="5"/>
      <c r="F333" s="3"/>
      <c r="G333" s="5"/>
      <c r="H333" s="5"/>
      <c r="I333" s="5"/>
      <c r="J333" s="3"/>
      <c r="K333" s="5"/>
      <c r="L333" s="5"/>
      <c r="M333" s="5"/>
      <c r="N333" s="5"/>
      <c r="O333" s="5"/>
      <c r="P333" s="3"/>
      <c r="Q333" s="14"/>
      <c r="R333" s="14"/>
      <c r="S333" s="14"/>
      <c r="T333" s="3"/>
      <c r="U333" s="4"/>
      <c r="V333" s="4"/>
      <c r="W333" s="4"/>
      <c r="X333" s="4"/>
      <c r="Y333" s="4"/>
      <c r="Z333" s="3"/>
      <c r="AB333" s="14"/>
      <c r="AC333" s="14"/>
      <c r="AD333" s="14"/>
      <c r="AE333" s="33"/>
      <c r="AG333" s="3"/>
    </row>
    <row r="334" spans="1:33" s="7" customFormat="1" x14ac:dyDescent="0.2">
      <c r="A334" s="5"/>
      <c r="B334" s="5"/>
      <c r="C334" s="5"/>
      <c r="D334" s="6"/>
      <c r="E334" s="5"/>
      <c r="F334" s="3"/>
      <c r="G334" s="5"/>
      <c r="H334" s="5"/>
      <c r="I334" s="5"/>
      <c r="J334" s="3"/>
      <c r="K334" s="5"/>
      <c r="L334" s="5"/>
      <c r="M334" s="5"/>
      <c r="N334" s="5"/>
      <c r="O334" s="5"/>
      <c r="P334" s="3"/>
      <c r="Q334" s="14"/>
      <c r="R334" s="14"/>
      <c r="S334" s="14"/>
      <c r="T334" s="3"/>
      <c r="U334" s="4"/>
      <c r="V334" s="4"/>
      <c r="W334" s="4"/>
      <c r="X334" s="4"/>
      <c r="Y334" s="4"/>
      <c r="Z334" s="3"/>
      <c r="AB334" s="14"/>
      <c r="AC334" s="14"/>
      <c r="AD334" s="14"/>
      <c r="AE334" s="33"/>
      <c r="AG334" s="3"/>
    </row>
    <row r="335" spans="1:33" s="7" customFormat="1" x14ac:dyDescent="0.2">
      <c r="A335" s="5"/>
      <c r="B335" s="5"/>
      <c r="C335" s="5"/>
      <c r="D335" s="6"/>
      <c r="E335" s="5"/>
      <c r="F335" s="3"/>
      <c r="G335" s="5"/>
      <c r="H335" s="5"/>
      <c r="I335" s="5"/>
      <c r="J335" s="3"/>
      <c r="K335" s="5"/>
      <c r="L335" s="5"/>
      <c r="M335" s="5"/>
      <c r="N335" s="5"/>
      <c r="O335" s="5"/>
      <c r="P335" s="3"/>
      <c r="Q335" s="14"/>
      <c r="R335" s="14"/>
      <c r="S335" s="14"/>
      <c r="T335" s="3"/>
      <c r="U335" s="4"/>
      <c r="V335" s="4"/>
      <c r="W335" s="4"/>
      <c r="X335" s="4"/>
      <c r="Y335" s="4"/>
      <c r="Z335" s="3"/>
      <c r="AB335" s="14"/>
      <c r="AC335" s="14"/>
      <c r="AD335" s="14"/>
      <c r="AE335" s="33"/>
      <c r="AG335" s="3"/>
    </row>
    <row r="336" spans="1:33" s="7" customFormat="1" x14ac:dyDescent="0.2">
      <c r="A336" s="5"/>
      <c r="B336" s="5"/>
      <c r="C336" s="5"/>
      <c r="D336" s="6"/>
      <c r="E336" s="5"/>
      <c r="F336" s="3"/>
      <c r="G336" s="5"/>
      <c r="H336" s="5"/>
      <c r="I336" s="5"/>
      <c r="J336" s="3"/>
      <c r="K336" s="5"/>
      <c r="L336" s="5"/>
      <c r="M336" s="5"/>
      <c r="N336" s="5"/>
      <c r="O336" s="5"/>
      <c r="P336" s="3"/>
      <c r="Q336" s="14"/>
      <c r="R336" s="14"/>
      <c r="S336" s="14"/>
      <c r="T336" s="3"/>
      <c r="U336" s="4"/>
      <c r="V336" s="4"/>
      <c r="W336" s="4"/>
      <c r="X336" s="4"/>
      <c r="Y336" s="4"/>
      <c r="Z336" s="3"/>
      <c r="AB336" s="14"/>
      <c r="AC336" s="14"/>
      <c r="AD336" s="14"/>
      <c r="AE336" s="33"/>
      <c r="AG336" s="3"/>
    </row>
    <row r="337" spans="1:33" s="7" customFormat="1" x14ac:dyDescent="0.2">
      <c r="A337" s="5"/>
      <c r="B337" s="5"/>
      <c r="C337" s="5"/>
      <c r="D337" s="6"/>
      <c r="E337" s="5"/>
      <c r="F337" s="3"/>
      <c r="G337" s="5"/>
      <c r="H337" s="5"/>
      <c r="I337" s="5"/>
      <c r="J337" s="3"/>
      <c r="K337" s="5"/>
      <c r="L337" s="5"/>
      <c r="M337" s="5"/>
      <c r="N337" s="5"/>
      <c r="O337" s="5"/>
      <c r="P337" s="3"/>
      <c r="Q337" s="14"/>
      <c r="R337" s="14"/>
      <c r="S337" s="14"/>
      <c r="T337" s="3"/>
      <c r="U337" s="4"/>
      <c r="V337" s="4"/>
      <c r="W337" s="4"/>
      <c r="X337" s="4"/>
      <c r="Y337" s="4"/>
      <c r="Z337" s="3"/>
      <c r="AB337" s="14"/>
      <c r="AC337" s="14"/>
      <c r="AD337" s="14"/>
      <c r="AE337" s="33"/>
      <c r="AG337" s="3"/>
    </row>
    <row r="338" spans="1:33" s="7" customFormat="1" x14ac:dyDescent="0.2">
      <c r="A338" s="5"/>
      <c r="B338" s="5"/>
      <c r="C338" s="5"/>
      <c r="D338" s="6"/>
      <c r="E338" s="5"/>
      <c r="F338" s="3"/>
      <c r="G338" s="5"/>
      <c r="H338" s="5"/>
      <c r="I338" s="5"/>
      <c r="J338" s="3"/>
      <c r="K338" s="5"/>
      <c r="L338" s="5"/>
      <c r="M338" s="5"/>
      <c r="N338" s="5"/>
      <c r="O338" s="5"/>
      <c r="P338" s="3"/>
      <c r="Q338" s="14"/>
      <c r="R338" s="14"/>
      <c r="S338" s="14"/>
      <c r="T338" s="3"/>
      <c r="U338" s="4"/>
      <c r="V338" s="4"/>
      <c r="W338" s="4"/>
      <c r="X338" s="4"/>
      <c r="Y338" s="4"/>
      <c r="Z338" s="3"/>
      <c r="AB338" s="14"/>
      <c r="AC338" s="14"/>
      <c r="AD338" s="14"/>
      <c r="AE338" s="33"/>
      <c r="AG338" s="3"/>
    </row>
    <row r="339" spans="1:33" s="7" customFormat="1" x14ac:dyDescent="0.2">
      <c r="A339" s="5"/>
      <c r="B339" s="5"/>
      <c r="C339" s="5"/>
      <c r="D339" s="6"/>
      <c r="E339" s="5"/>
      <c r="F339" s="3"/>
      <c r="G339" s="5"/>
      <c r="H339" s="5"/>
      <c r="I339" s="5"/>
      <c r="J339" s="3"/>
      <c r="K339" s="5"/>
      <c r="L339" s="5"/>
      <c r="M339" s="5"/>
      <c r="N339" s="5"/>
      <c r="O339" s="5"/>
      <c r="P339" s="3"/>
      <c r="Q339" s="14"/>
      <c r="R339" s="14"/>
      <c r="S339" s="14"/>
      <c r="T339" s="3"/>
      <c r="U339" s="4"/>
      <c r="V339" s="4"/>
      <c r="W339" s="4"/>
      <c r="X339" s="4"/>
      <c r="Y339" s="4"/>
      <c r="Z339" s="3"/>
      <c r="AB339" s="14"/>
      <c r="AC339" s="14"/>
      <c r="AD339" s="14"/>
      <c r="AE339" s="33"/>
      <c r="AG339" s="3"/>
    </row>
    <row r="340" spans="1:33" s="7" customFormat="1" x14ac:dyDescent="0.2">
      <c r="A340" s="5"/>
      <c r="B340" s="5"/>
      <c r="C340" s="5"/>
      <c r="D340" s="6"/>
      <c r="E340" s="5"/>
      <c r="F340" s="3"/>
      <c r="G340" s="5"/>
      <c r="H340" s="5"/>
      <c r="I340" s="5"/>
      <c r="J340" s="3"/>
      <c r="K340" s="5"/>
      <c r="L340" s="5"/>
      <c r="M340" s="5"/>
      <c r="N340" s="5"/>
      <c r="O340" s="5"/>
      <c r="P340" s="3"/>
      <c r="Q340" s="14"/>
      <c r="R340" s="14"/>
      <c r="S340" s="14"/>
      <c r="T340" s="3"/>
      <c r="U340" s="4"/>
      <c r="V340" s="4"/>
      <c r="W340" s="4"/>
      <c r="X340" s="4"/>
      <c r="Y340" s="4"/>
      <c r="Z340" s="3"/>
      <c r="AB340" s="14"/>
      <c r="AC340" s="14"/>
      <c r="AD340" s="14"/>
      <c r="AE340" s="33"/>
      <c r="AG340" s="3"/>
    </row>
    <row r="341" spans="1:33" s="7" customFormat="1" x14ac:dyDescent="0.2">
      <c r="A341" s="5"/>
      <c r="B341" s="5"/>
      <c r="C341" s="5"/>
      <c r="D341" s="6"/>
      <c r="E341" s="5"/>
      <c r="F341" s="3"/>
      <c r="G341" s="5"/>
      <c r="H341" s="5"/>
      <c r="I341" s="5"/>
      <c r="J341" s="3"/>
      <c r="K341" s="5"/>
      <c r="L341" s="5"/>
      <c r="M341" s="5"/>
      <c r="N341" s="5"/>
      <c r="O341" s="5"/>
      <c r="P341" s="3"/>
      <c r="Q341" s="14"/>
      <c r="R341" s="14"/>
      <c r="S341" s="14"/>
      <c r="T341" s="3"/>
      <c r="U341" s="4"/>
      <c r="V341" s="4"/>
      <c r="W341" s="4"/>
      <c r="X341" s="4"/>
      <c r="Y341" s="4"/>
      <c r="Z341" s="3"/>
      <c r="AB341" s="14"/>
      <c r="AC341" s="14"/>
      <c r="AD341" s="14"/>
      <c r="AE341" s="33"/>
      <c r="AG341" s="3"/>
    </row>
    <row r="342" spans="1:33" s="7" customFormat="1" x14ac:dyDescent="0.2">
      <c r="A342" s="5"/>
      <c r="B342" s="5"/>
      <c r="C342" s="5"/>
      <c r="D342" s="6"/>
      <c r="E342" s="5"/>
      <c r="F342" s="3"/>
      <c r="G342" s="5"/>
      <c r="H342" s="5"/>
      <c r="I342" s="5"/>
      <c r="J342" s="3"/>
      <c r="K342" s="5"/>
      <c r="L342" s="5"/>
      <c r="M342" s="5"/>
      <c r="N342" s="5"/>
      <c r="O342" s="5"/>
      <c r="P342" s="3"/>
      <c r="Q342" s="14"/>
      <c r="R342" s="14"/>
      <c r="S342" s="14"/>
      <c r="T342" s="3"/>
      <c r="U342" s="4"/>
      <c r="V342" s="4"/>
      <c r="W342" s="4"/>
      <c r="X342" s="4"/>
      <c r="Y342" s="4"/>
      <c r="Z342" s="3"/>
      <c r="AB342" s="14"/>
      <c r="AC342" s="14"/>
      <c r="AD342" s="14"/>
      <c r="AE342" s="33"/>
      <c r="AG342" s="3"/>
    </row>
    <row r="343" spans="1:33" s="7" customFormat="1" x14ac:dyDescent="0.2">
      <c r="A343" s="5"/>
      <c r="B343" s="5"/>
      <c r="C343" s="5"/>
      <c r="D343" s="6"/>
      <c r="E343" s="5"/>
      <c r="F343" s="3"/>
      <c r="G343" s="5"/>
      <c r="H343" s="5"/>
      <c r="I343" s="5"/>
      <c r="J343" s="3"/>
      <c r="K343" s="5"/>
      <c r="L343" s="5"/>
      <c r="M343" s="5"/>
      <c r="N343" s="5"/>
      <c r="O343" s="5"/>
      <c r="P343" s="3"/>
      <c r="Q343" s="14"/>
      <c r="R343" s="14"/>
      <c r="S343" s="14"/>
      <c r="T343" s="3"/>
      <c r="U343" s="4"/>
      <c r="V343" s="4"/>
      <c r="W343" s="4"/>
      <c r="X343" s="4"/>
      <c r="Y343" s="4"/>
      <c r="Z343" s="3"/>
      <c r="AB343" s="14"/>
      <c r="AC343" s="14"/>
      <c r="AD343" s="14"/>
      <c r="AE343" s="33"/>
      <c r="AG343" s="3"/>
    </row>
    <row r="344" spans="1:33" s="7" customFormat="1" x14ac:dyDescent="0.2">
      <c r="A344" s="5"/>
      <c r="B344" s="5"/>
      <c r="C344" s="5"/>
      <c r="D344" s="6"/>
      <c r="E344" s="5"/>
      <c r="F344" s="3"/>
      <c r="G344" s="5"/>
      <c r="H344" s="5"/>
      <c r="I344" s="5"/>
      <c r="J344" s="3"/>
      <c r="K344" s="5"/>
      <c r="L344" s="5"/>
      <c r="M344" s="5"/>
      <c r="N344" s="5"/>
      <c r="O344" s="5"/>
      <c r="P344" s="3"/>
      <c r="Q344" s="14"/>
      <c r="R344" s="14"/>
      <c r="S344" s="14"/>
      <c r="T344" s="3"/>
      <c r="U344" s="4"/>
      <c r="V344" s="4"/>
      <c r="W344" s="4"/>
      <c r="X344" s="4"/>
      <c r="Y344" s="4"/>
      <c r="Z344" s="3"/>
      <c r="AB344" s="14"/>
      <c r="AC344" s="14"/>
      <c r="AD344" s="14"/>
      <c r="AE344" s="33"/>
      <c r="AG344" s="3"/>
    </row>
    <row r="345" spans="1:33" s="7" customFormat="1" x14ac:dyDescent="0.2">
      <c r="A345" s="5"/>
      <c r="B345" s="5"/>
      <c r="C345" s="5"/>
      <c r="D345" s="6"/>
      <c r="E345" s="5"/>
      <c r="F345" s="3"/>
      <c r="G345" s="5"/>
      <c r="H345" s="5"/>
      <c r="I345" s="5"/>
      <c r="J345" s="3"/>
      <c r="K345" s="5"/>
      <c r="L345" s="5"/>
      <c r="M345" s="5"/>
      <c r="N345" s="5"/>
      <c r="O345" s="5"/>
      <c r="P345" s="3"/>
      <c r="Q345" s="14"/>
      <c r="R345" s="14"/>
      <c r="S345" s="14"/>
      <c r="T345" s="3"/>
      <c r="U345" s="4"/>
      <c r="V345" s="4"/>
      <c r="W345" s="4"/>
      <c r="X345" s="4"/>
      <c r="Y345" s="4"/>
      <c r="Z345" s="3"/>
      <c r="AB345" s="14"/>
      <c r="AC345" s="14"/>
      <c r="AD345" s="14"/>
      <c r="AE345" s="33"/>
      <c r="AG345" s="3"/>
    </row>
    <row r="346" spans="1:33" s="7" customFormat="1" x14ac:dyDescent="0.2">
      <c r="A346" s="5"/>
      <c r="B346" s="5"/>
      <c r="C346" s="5"/>
      <c r="D346" s="6"/>
      <c r="E346" s="5"/>
      <c r="F346" s="3"/>
      <c r="G346" s="5"/>
      <c r="H346" s="5"/>
      <c r="I346" s="5"/>
      <c r="J346" s="3"/>
      <c r="K346" s="5"/>
      <c r="L346" s="5"/>
      <c r="M346" s="5"/>
      <c r="N346" s="5"/>
      <c r="O346" s="5"/>
      <c r="P346" s="3"/>
      <c r="Q346" s="14"/>
      <c r="R346" s="14"/>
      <c r="S346" s="14"/>
      <c r="T346" s="3"/>
      <c r="U346" s="4"/>
      <c r="V346" s="4"/>
      <c r="W346" s="4"/>
      <c r="X346" s="4"/>
      <c r="Y346" s="4"/>
      <c r="Z346" s="3"/>
      <c r="AB346" s="14"/>
      <c r="AC346" s="14"/>
      <c r="AD346" s="14"/>
      <c r="AE346" s="33"/>
      <c r="AG346" s="3"/>
    </row>
    <row r="347" spans="1:33" s="7" customFormat="1" x14ac:dyDescent="0.2">
      <c r="A347" s="5"/>
      <c r="B347" s="5"/>
      <c r="C347" s="5"/>
      <c r="D347" s="6"/>
      <c r="E347" s="5"/>
      <c r="F347" s="3"/>
      <c r="G347" s="5"/>
      <c r="H347" s="5"/>
      <c r="I347" s="5"/>
      <c r="J347" s="3"/>
      <c r="K347" s="5"/>
      <c r="L347" s="5"/>
      <c r="M347" s="5"/>
      <c r="N347" s="5"/>
      <c r="O347" s="5"/>
      <c r="P347" s="3"/>
      <c r="Q347" s="14"/>
      <c r="R347" s="14"/>
      <c r="S347" s="14"/>
      <c r="T347" s="3"/>
      <c r="U347" s="4"/>
      <c r="V347" s="4"/>
      <c r="W347" s="4"/>
      <c r="X347" s="4"/>
      <c r="Y347" s="4"/>
      <c r="Z347" s="3"/>
      <c r="AB347" s="14"/>
      <c r="AC347" s="14"/>
      <c r="AD347" s="14"/>
      <c r="AE347" s="33"/>
      <c r="AG347" s="3"/>
    </row>
    <row r="348" spans="1:33" s="7" customFormat="1" x14ac:dyDescent="0.2">
      <c r="A348" s="5"/>
      <c r="B348" s="5"/>
      <c r="C348" s="5"/>
      <c r="D348" s="6"/>
      <c r="E348" s="5"/>
      <c r="F348" s="3"/>
      <c r="G348" s="5"/>
      <c r="H348" s="5"/>
      <c r="I348" s="5"/>
      <c r="J348" s="3"/>
      <c r="K348" s="5"/>
      <c r="L348" s="5"/>
      <c r="M348" s="5"/>
      <c r="N348" s="5"/>
      <c r="O348" s="5"/>
      <c r="P348" s="3"/>
      <c r="Q348" s="14"/>
      <c r="R348" s="14"/>
      <c r="S348" s="14"/>
      <c r="T348" s="3"/>
      <c r="U348" s="4"/>
      <c r="V348" s="4"/>
      <c r="W348" s="4"/>
      <c r="X348" s="4"/>
      <c r="Y348" s="4"/>
      <c r="Z348" s="3"/>
      <c r="AB348" s="14"/>
      <c r="AC348" s="14"/>
      <c r="AD348" s="14"/>
      <c r="AE348" s="33"/>
      <c r="AG348" s="3"/>
    </row>
    <row r="349" spans="1:33" s="7" customFormat="1" x14ac:dyDescent="0.2">
      <c r="A349" s="5"/>
      <c r="B349" s="5"/>
      <c r="C349" s="5"/>
      <c r="D349" s="6"/>
      <c r="E349" s="5"/>
      <c r="F349" s="3"/>
      <c r="G349" s="5"/>
      <c r="H349" s="5"/>
      <c r="I349" s="5"/>
      <c r="J349" s="3"/>
      <c r="K349" s="5"/>
      <c r="L349" s="5"/>
      <c r="M349" s="5"/>
      <c r="N349" s="5"/>
      <c r="O349" s="5"/>
      <c r="P349" s="3"/>
      <c r="Q349" s="14"/>
      <c r="R349" s="14"/>
      <c r="S349" s="14"/>
      <c r="T349" s="3"/>
      <c r="U349" s="4"/>
      <c r="V349" s="4"/>
      <c r="W349" s="4"/>
      <c r="X349" s="4"/>
      <c r="Y349" s="4"/>
      <c r="Z349" s="3"/>
      <c r="AB349" s="14"/>
      <c r="AC349" s="14"/>
      <c r="AD349" s="14"/>
      <c r="AE349" s="33"/>
      <c r="AG349" s="3"/>
    </row>
    <row r="350" spans="1:33" s="7" customFormat="1" x14ac:dyDescent="0.2">
      <c r="A350" s="5"/>
      <c r="B350" s="5"/>
      <c r="C350" s="5"/>
      <c r="D350" s="6"/>
      <c r="E350" s="5"/>
      <c r="F350" s="3"/>
      <c r="G350" s="5"/>
      <c r="H350" s="5"/>
      <c r="I350" s="5"/>
      <c r="J350" s="3"/>
      <c r="K350" s="5"/>
      <c r="L350" s="5"/>
      <c r="M350" s="5"/>
      <c r="N350" s="5"/>
      <c r="O350" s="5"/>
      <c r="P350" s="3"/>
      <c r="Q350" s="14"/>
      <c r="R350" s="14"/>
      <c r="S350" s="14"/>
      <c r="T350" s="3"/>
      <c r="U350" s="4"/>
      <c r="V350" s="4"/>
      <c r="W350" s="4"/>
      <c r="X350" s="4"/>
      <c r="Y350" s="4"/>
      <c r="Z350" s="3"/>
      <c r="AB350" s="14"/>
      <c r="AC350" s="14"/>
      <c r="AD350" s="14"/>
      <c r="AE350" s="33"/>
      <c r="AG350" s="3"/>
    </row>
    <row r="351" spans="1:33" s="7" customFormat="1" x14ac:dyDescent="0.2">
      <c r="A351" s="5"/>
      <c r="B351" s="5"/>
      <c r="C351" s="5"/>
      <c r="D351" s="6"/>
      <c r="E351" s="5"/>
      <c r="F351" s="3"/>
      <c r="G351" s="5"/>
      <c r="H351" s="5"/>
      <c r="I351" s="5"/>
      <c r="J351" s="3"/>
      <c r="K351" s="5"/>
      <c r="L351" s="5"/>
      <c r="M351" s="5"/>
      <c r="N351" s="5"/>
      <c r="O351" s="5"/>
      <c r="P351" s="3"/>
      <c r="Q351" s="14"/>
      <c r="R351" s="14"/>
      <c r="S351" s="14"/>
      <c r="T351" s="3"/>
      <c r="U351" s="4"/>
      <c r="V351" s="4"/>
      <c r="W351" s="4"/>
      <c r="X351" s="4"/>
      <c r="Y351" s="4"/>
      <c r="Z351" s="3"/>
      <c r="AB351" s="14"/>
      <c r="AC351" s="14"/>
      <c r="AD351" s="14"/>
      <c r="AE351" s="33"/>
      <c r="AG351" s="3"/>
    </row>
    <row r="352" spans="1:33" s="7" customFormat="1" x14ac:dyDescent="0.2">
      <c r="A352" s="5"/>
      <c r="B352" s="5"/>
      <c r="C352" s="5"/>
      <c r="D352" s="6"/>
      <c r="E352" s="5"/>
      <c r="F352" s="3"/>
      <c r="G352" s="5"/>
      <c r="H352" s="5"/>
      <c r="I352" s="5"/>
      <c r="J352" s="3"/>
      <c r="K352" s="5"/>
      <c r="L352" s="5"/>
      <c r="M352" s="5"/>
      <c r="N352" s="5"/>
      <c r="O352" s="5"/>
      <c r="P352" s="3"/>
      <c r="Q352" s="14"/>
      <c r="R352" s="14"/>
      <c r="S352" s="14"/>
      <c r="T352" s="3"/>
      <c r="U352" s="4"/>
      <c r="V352" s="4"/>
      <c r="W352" s="4"/>
      <c r="X352" s="4"/>
      <c r="Y352" s="4"/>
      <c r="Z352" s="3"/>
      <c r="AB352" s="14"/>
      <c r="AC352" s="14"/>
      <c r="AD352" s="14"/>
      <c r="AE352" s="33"/>
      <c r="AG352" s="3"/>
    </row>
    <row r="353" spans="1:33" s="7" customFormat="1" x14ac:dyDescent="0.2">
      <c r="A353" s="5"/>
      <c r="B353" s="5"/>
      <c r="C353" s="5"/>
      <c r="D353" s="6"/>
      <c r="E353" s="5"/>
      <c r="F353" s="3"/>
      <c r="G353" s="5"/>
      <c r="H353" s="5"/>
      <c r="I353" s="5"/>
      <c r="J353" s="3"/>
      <c r="K353" s="5"/>
      <c r="L353" s="5"/>
      <c r="M353" s="5"/>
      <c r="N353" s="5"/>
      <c r="O353" s="5"/>
      <c r="P353" s="3"/>
      <c r="Q353" s="14"/>
      <c r="R353" s="14"/>
      <c r="S353" s="14"/>
      <c r="T353" s="3"/>
      <c r="U353" s="4"/>
      <c r="V353" s="4"/>
      <c r="W353" s="4"/>
      <c r="X353" s="4"/>
      <c r="Y353" s="4"/>
      <c r="Z353" s="3"/>
      <c r="AB353" s="14"/>
      <c r="AC353" s="14"/>
      <c r="AD353" s="14"/>
      <c r="AE353" s="33"/>
      <c r="AG353" s="3"/>
    </row>
    <row r="354" spans="1:33" s="7" customFormat="1" x14ac:dyDescent="0.2">
      <c r="A354" s="5"/>
      <c r="B354" s="5"/>
      <c r="C354" s="5"/>
      <c r="D354" s="6"/>
      <c r="E354" s="5"/>
      <c r="F354" s="3"/>
      <c r="G354" s="5"/>
      <c r="H354" s="5"/>
      <c r="I354" s="5"/>
      <c r="J354" s="3"/>
      <c r="K354" s="5"/>
      <c r="L354" s="5"/>
      <c r="M354" s="5"/>
      <c r="N354" s="5"/>
      <c r="O354" s="5"/>
      <c r="P354" s="3"/>
      <c r="Q354" s="14"/>
      <c r="R354" s="14"/>
      <c r="S354" s="14"/>
      <c r="T354" s="3"/>
      <c r="U354" s="4"/>
      <c r="V354" s="4"/>
      <c r="W354" s="4"/>
      <c r="X354" s="4"/>
      <c r="Y354" s="4"/>
      <c r="Z354" s="3"/>
      <c r="AB354" s="14"/>
      <c r="AC354" s="14"/>
      <c r="AD354" s="14"/>
      <c r="AE354" s="33"/>
      <c r="AG354" s="3"/>
    </row>
  </sheetData>
  <mergeCells count="3">
    <mergeCell ref="W1:X1"/>
    <mergeCell ref="A1:C1"/>
    <mergeCell ref="A119:C119"/>
  </mergeCells>
  <dataValidations disablePrompts="1" count="2">
    <dataValidation type="list" allowBlank="1" showInputMessage="1" showErrorMessage="1" sqref="G43:G61 G17:G41 G63:G1048576 G3:G13" xr:uid="{00000000-0002-0000-0200-000000000000}">
      <formula1>"Sim"</formula1>
    </dataValidation>
    <dataValidation type="list" allowBlank="1" showInputMessage="1" showErrorMessage="1" sqref="H43:H61 H17:H41 H63:H119 H3:H13" xr:uid="{00000000-0002-0000-0200-000001000000}">
      <formula1>"Bens,Consultoria,Consultor individual,Obras,Serviços"</formula1>
    </dataValidation>
  </dataValidations>
  <pageMargins left="0.31496062992125984" right="0.51181102362204722" top="0.35433070866141736" bottom="0.35433070866141736" header="0.31496062992125984" footer="0.31496062992125984"/>
  <pageSetup paperSize="8" scale="65" fitToWidth="2" fitToHeight="2" orientation="landscape" r:id="rId1"/>
  <rowBreaks count="1" manualBreakCount="1">
    <brk id="118" max="16383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78"/>
  <sheetViews>
    <sheetView topLeftCell="A52" workbookViewId="0">
      <selection activeCell="B7" sqref="B7"/>
    </sheetView>
  </sheetViews>
  <sheetFormatPr defaultColWidth="9.140625" defaultRowHeight="15" x14ac:dyDescent="0.25"/>
  <cols>
    <col min="1" max="1" width="39.5703125" customWidth="1"/>
    <col min="2" max="2" width="16.85546875" customWidth="1"/>
    <col min="3" max="3" width="19.5703125" customWidth="1"/>
    <col min="4" max="4" width="19.42578125" customWidth="1"/>
    <col min="5" max="5" width="9.140625" style="39"/>
    <col min="6" max="9" width="9.42578125" style="208" customWidth="1"/>
    <col min="10" max="10" width="13" style="208" customWidth="1"/>
    <col min="11" max="11" width="9.42578125" style="208" customWidth="1"/>
    <col min="12" max="14" width="13" style="208" customWidth="1"/>
    <col min="15" max="15" width="10.85546875" style="208" customWidth="1"/>
    <col min="16" max="16" width="13" style="208" customWidth="1"/>
    <col min="17" max="17" width="9.42578125" style="208" customWidth="1"/>
    <col min="18" max="18" width="13" style="208" customWidth="1"/>
    <col min="19" max="19" width="9.42578125" style="208" customWidth="1"/>
    <col min="20" max="20" width="9.7109375" style="208" customWidth="1"/>
    <col min="21" max="21" width="9.42578125" style="208" customWidth="1"/>
    <col min="22" max="22" width="12.85546875" style="208" customWidth="1"/>
    <col min="23" max="25" width="13" style="208" customWidth="1"/>
    <col min="26" max="27" width="9.42578125" style="208" customWidth="1"/>
    <col min="28" max="28" width="12.85546875" style="208" customWidth="1"/>
    <col min="29" max="29" width="9.42578125" style="208" customWidth="1"/>
    <col min="30" max="30" width="9.7109375" style="208" customWidth="1"/>
    <col min="31" max="31" width="9.42578125" style="208" customWidth="1"/>
    <col min="32" max="32" width="9.7109375" style="208" customWidth="1"/>
    <col min="33" max="33" width="13" style="208" customWidth="1"/>
    <col min="34" max="34" width="12.85546875" style="208" customWidth="1"/>
    <col min="35" max="35" width="13" style="208" customWidth="1"/>
    <col min="36" max="36" width="9.7109375" style="208" customWidth="1"/>
    <col min="37" max="37" width="9.42578125" style="208" customWidth="1"/>
    <col min="38" max="38" width="9.7109375" style="208" customWidth="1"/>
    <col min="39" max="39" width="9.42578125" style="208" customWidth="1"/>
    <col min="40" max="40" width="9.7109375" style="208" customWidth="1"/>
    <col min="41" max="41" width="9.42578125" style="208" customWidth="1"/>
    <col min="42" max="42" width="9.7109375" style="208" customWidth="1"/>
    <col min="43" max="43" width="9.42578125" style="208" customWidth="1"/>
    <col min="44" max="44" width="9.7109375" style="208" customWidth="1"/>
    <col min="45" max="45" width="9.42578125" style="208" customWidth="1"/>
    <col min="46" max="46" width="9.7109375" style="208" customWidth="1"/>
    <col min="47" max="47" width="9.42578125" style="208" customWidth="1"/>
    <col min="48" max="48" width="9.7109375" style="208" customWidth="1"/>
    <col min="49" max="49" width="9.42578125" style="208" customWidth="1"/>
    <col min="50" max="50" width="9.7109375" style="208" customWidth="1"/>
    <col min="51" max="53" width="9.42578125" style="208" customWidth="1"/>
    <col min="54" max="54" width="9.7109375" style="208" customWidth="1"/>
    <col min="55" max="55" width="9.42578125" style="208" customWidth="1"/>
    <col min="56" max="56" width="13" style="208" bestFit="1" customWidth="1"/>
    <col min="57" max="58" width="14.140625" style="208" bestFit="1" customWidth="1"/>
  </cols>
  <sheetData>
    <row r="1" spans="1:58" x14ac:dyDescent="0.25">
      <c r="B1" s="290" t="s">
        <v>65</v>
      </c>
      <c r="C1" s="290"/>
      <c r="D1" s="290"/>
      <c r="F1" s="289" t="s">
        <v>66</v>
      </c>
      <c r="G1" s="289"/>
      <c r="H1" s="289"/>
      <c r="I1" s="289"/>
      <c r="J1" s="289"/>
      <c r="K1" s="289"/>
      <c r="L1" s="289"/>
      <c r="M1" s="289"/>
      <c r="N1" s="289"/>
      <c r="O1" s="289"/>
      <c r="P1" s="288" t="s">
        <v>67</v>
      </c>
      <c r="Q1" s="288"/>
      <c r="R1" s="288"/>
      <c r="S1" s="288"/>
      <c r="T1" s="288"/>
      <c r="U1" s="288"/>
      <c r="V1" s="288"/>
      <c r="W1" s="288"/>
      <c r="X1" s="288"/>
      <c r="Y1" s="288"/>
      <c r="Z1" s="288" t="s">
        <v>68</v>
      </c>
      <c r="AA1" s="288"/>
      <c r="AB1" s="288"/>
      <c r="AC1" s="288"/>
      <c r="AD1" s="288"/>
      <c r="AE1" s="288"/>
      <c r="AF1" s="288"/>
      <c r="AG1" s="288"/>
      <c r="AH1" s="288"/>
      <c r="AI1" s="288"/>
      <c r="AJ1" s="288" t="s">
        <v>69</v>
      </c>
      <c r="AK1" s="288"/>
      <c r="AL1" s="288"/>
      <c r="AM1" s="288"/>
      <c r="AN1" s="288"/>
      <c r="AO1" s="288"/>
      <c r="AP1" s="288"/>
      <c r="AQ1" s="288"/>
      <c r="AR1" s="288"/>
      <c r="AS1" s="288"/>
      <c r="AT1" s="288" t="s">
        <v>70</v>
      </c>
      <c r="AU1" s="288"/>
      <c r="AV1" s="288"/>
      <c r="AW1" s="288"/>
      <c r="AX1" s="288"/>
      <c r="AY1" s="288"/>
      <c r="AZ1" s="288"/>
      <c r="BA1" s="288"/>
      <c r="BB1" s="288"/>
      <c r="BC1" s="288"/>
      <c r="BD1" s="288" t="s">
        <v>9</v>
      </c>
      <c r="BE1" s="288"/>
      <c r="BF1" s="288"/>
    </row>
    <row r="2" spans="1:58" x14ac:dyDescent="0.25">
      <c r="A2" s="297" t="s">
        <v>71</v>
      </c>
      <c r="B2" s="284" t="s">
        <v>72</v>
      </c>
      <c r="C2" s="285"/>
      <c r="D2" s="286"/>
      <c r="F2" s="289" t="s">
        <v>73</v>
      </c>
      <c r="G2" s="289"/>
      <c r="H2" s="289" t="s">
        <v>74</v>
      </c>
      <c r="I2" s="289"/>
      <c r="J2" s="289" t="s">
        <v>75</v>
      </c>
      <c r="K2" s="289"/>
      <c r="L2" s="289" t="s">
        <v>76</v>
      </c>
      <c r="M2" s="289"/>
      <c r="N2" s="289" t="str">
        <f>+'[2]CRONOGRAMA EXECUÇÃO'!E4</f>
        <v>Total</v>
      </c>
      <c r="O2" s="289"/>
      <c r="P2" s="288" t="s">
        <v>73</v>
      </c>
      <c r="Q2" s="288"/>
      <c r="R2" s="288" t="s">
        <v>74</v>
      </c>
      <c r="S2" s="288"/>
      <c r="T2" s="288" t="s">
        <v>75</v>
      </c>
      <c r="U2" s="288"/>
      <c r="V2" s="288" t="s">
        <v>76</v>
      </c>
      <c r="W2" s="288"/>
      <c r="X2" s="288" t="s">
        <v>47</v>
      </c>
      <c r="Y2" s="288"/>
      <c r="Z2" s="288" t="s">
        <v>73</v>
      </c>
      <c r="AA2" s="288"/>
      <c r="AB2" s="288" t="s">
        <v>74</v>
      </c>
      <c r="AC2" s="288"/>
      <c r="AD2" s="288" t="s">
        <v>75</v>
      </c>
      <c r="AE2" s="288"/>
      <c r="AF2" s="288" t="s">
        <v>76</v>
      </c>
      <c r="AG2" s="288"/>
      <c r="AH2" s="288" t="s">
        <v>47</v>
      </c>
      <c r="AI2" s="288"/>
      <c r="AJ2" s="288" t="s">
        <v>73</v>
      </c>
      <c r="AK2" s="288"/>
      <c r="AL2" s="288" t="s">
        <v>74</v>
      </c>
      <c r="AM2" s="288"/>
      <c r="AN2" s="288" t="s">
        <v>75</v>
      </c>
      <c r="AO2" s="288"/>
      <c r="AP2" s="288" t="s">
        <v>76</v>
      </c>
      <c r="AQ2" s="288"/>
      <c r="AR2" s="288" t="s">
        <v>47</v>
      </c>
      <c r="AS2" s="288"/>
      <c r="AT2" s="288" t="s">
        <v>73</v>
      </c>
      <c r="AU2" s="288"/>
      <c r="AV2" s="288" t="s">
        <v>74</v>
      </c>
      <c r="AW2" s="288"/>
      <c r="AX2" s="288" t="s">
        <v>75</v>
      </c>
      <c r="AY2" s="288"/>
      <c r="AZ2" s="288" t="s">
        <v>76</v>
      </c>
      <c r="BA2" s="288"/>
      <c r="BB2" s="288" t="s">
        <v>47</v>
      </c>
      <c r="BC2" s="288"/>
      <c r="BD2" s="198" t="s">
        <v>15</v>
      </c>
      <c r="BE2" s="198" t="s">
        <v>77</v>
      </c>
      <c r="BF2" s="198" t="s">
        <v>9</v>
      </c>
    </row>
    <row r="3" spans="1:58" x14ac:dyDescent="0.25">
      <c r="A3" s="298"/>
      <c r="B3" s="96" t="s">
        <v>15</v>
      </c>
      <c r="C3" s="96" t="s">
        <v>16</v>
      </c>
      <c r="D3" s="96" t="s">
        <v>47</v>
      </c>
      <c r="F3" s="199" t="s">
        <v>15</v>
      </c>
      <c r="G3" s="199" t="s">
        <v>77</v>
      </c>
      <c r="H3" s="199" t="s">
        <v>15</v>
      </c>
      <c r="I3" s="199" t="s">
        <v>77</v>
      </c>
      <c r="J3" s="199" t="s">
        <v>15</v>
      </c>
      <c r="K3" s="199" t="s">
        <v>77</v>
      </c>
      <c r="L3" s="199" t="s">
        <v>15</v>
      </c>
      <c r="M3" s="199" t="s">
        <v>77</v>
      </c>
      <c r="N3" s="199" t="s">
        <v>15</v>
      </c>
      <c r="O3" s="199" t="s">
        <v>77</v>
      </c>
      <c r="P3" s="199" t="s">
        <v>15</v>
      </c>
      <c r="Q3" s="199" t="s">
        <v>77</v>
      </c>
      <c r="R3" s="199" t="s">
        <v>15</v>
      </c>
      <c r="S3" s="199" t="s">
        <v>77</v>
      </c>
      <c r="T3" s="199" t="s">
        <v>15</v>
      </c>
      <c r="U3" s="199" t="s">
        <v>77</v>
      </c>
      <c r="V3" s="199" t="s">
        <v>15</v>
      </c>
      <c r="W3" s="199" t="s">
        <v>77</v>
      </c>
      <c r="X3" s="199" t="s">
        <v>15</v>
      </c>
      <c r="Y3" s="199" t="s">
        <v>77</v>
      </c>
      <c r="Z3" s="199" t="s">
        <v>15</v>
      </c>
      <c r="AA3" s="199" t="s">
        <v>77</v>
      </c>
      <c r="AB3" s="199" t="s">
        <v>15</v>
      </c>
      <c r="AC3" s="199" t="s">
        <v>77</v>
      </c>
      <c r="AD3" s="199" t="s">
        <v>15</v>
      </c>
      <c r="AE3" s="199" t="s">
        <v>77</v>
      </c>
      <c r="AF3" s="199" t="s">
        <v>15</v>
      </c>
      <c r="AG3" s="199" t="s">
        <v>77</v>
      </c>
      <c r="AH3" s="199" t="s">
        <v>15</v>
      </c>
      <c r="AI3" s="199" t="s">
        <v>77</v>
      </c>
      <c r="AJ3" s="199" t="s">
        <v>15</v>
      </c>
      <c r="AK3" s="199" t="s">
        <v>77</v>
      </c>
      <c r="AL3" s="199" t="s">
        <v>15</v>
      </c>
      <c r="AM3" s="199" t="s">
        <v>77</v>
      </c>
      <c r="AN3" s="199" t="s">
        <v>15</v>
      </c>
      <c r="AO3" s="199" t="s">
        <v>77</v>
      </c>
      <c r="AP3" s="199" t="s">
        <v>15</v>
      </c>
      <c r="AQ3" s="199" t="s">
        <v>77</v>
      </c>
      <c r="AR3" s="199" t="s">
        <v>15</v>
      </c>
      <c r="AS3" s="199" t="s">
        <v>77</v>
      </c>
      <c r="AT3" s="199" t="s">
        <v>15</v>
      </c>
      <c r="AU3" s="199" t="s">
        <v>77</v>
      </c>
      <c r="AV3" s="199" t="s">
        <v>15</v>
      </c>
      <c r="AW3" s="199" t="s">
        <v>77</v>
      </c>
      <c r="AX3" s="199" t="s">
        <v>15</v>
      </c>
      <c r="AY3" s="199" t="s">
        <v>77</v>
      </c>
      <c r="AZ3" s="199" t="s">
        <v>15</v>
      </c>
      <c r="BA3" s="199" t="s">
        <v>77</v>
      </c>
      <c r="BB3" s="199" t="s">
        <v>15</v>
      </c>
      <c r="BC3" s="199" t="s">
        <v>77</v>
      </c>
      <c r="BD3" s="200"/>
      <c r="BE3" s="200"/>
      <c r="BF3" s="201"/>
    </row>
    <row r="4" spans="1:58" ht="39" customHeight="1" x14ac:dyDescent="0.25">
      <c r="A4" s="100" t="s">
        <v>78</v>
      </c>
      <c r="B4" s="101">
        <f>B6+B12+B19</f>
        <v>71179436.229999989</v>
      </c>
      <c r="C4" s="101">
        <f>C6+C12+C19</f>
        <v>248484999.69799998</v>
      </c>
      <c r="D4" s="101">
        <f>B4+C4</f>
        <v>319664435.92799997</v>
      </c>
      <c r="F4" s="106">
        <f t="shared" ref="F4:AK4" si="0">F6+F12+F19</f>
        <v>0</v>
      </c>
      <c r="G4" s="106">
        <f t="shared" si="0"/>
        <v>9397208.0999999996</v>
      </c>
      <c r="H4" s="106">
        <f t="shared" si="0"/>
        <v>0</v>
      </c>
      <c r="I4" s="106">
        <f t="shared" si="0"/>
        <v>917799.98499999999</v>
      </c>
      <c r="J4" s="106">
        <f t="shared" si="0"/>
        <v>2505036</v>
      </c>
      <c r="K4" s="106">
        <f t="shared" si="0"/>
        <v>0</v>
      </c>
      <c r="L4" s="106">
        <f t="shared" si="0"/>
        <v>3192275.48</v>
      </c>
      <c r="M4" s="106">
        <f t="shared" si="0"/>
        <v>61211831.535999998</v>
      </c>
      <c r="N4" s="106">
        <f t="shared" si="0"/>
        <v>41907217.480000004</v>
      </c>
      <c r="O4" s="106">
        <f t="shared" si="0"/>
        <v>99076811.277999997</v>
      </c>
      <c r="P4" s="106">
        <f t="shared" si="0"/>
        <v>1795738</v>
      </c>
      <c r="Q4" s="106">
        <f t="shared" si="0"/>
        <v>0</v>
      </c>
      <c r="R4" s="106">
        <f t="shared" si="0"/>
        <v>2121455.083333333</v>
      </c>
      <c r="S4" s="106">
        <f t="shared" si="0"/>
        <v>0</v>
      </c>
      <c r="T4" s="106">
        <f t="shared" si="0"/>
        <v>6684679.7305333335</v>
      </c>
      <c r="U4" s="106">
        <f t="shared" si="0"/>
        <v>0</v>
      </c>
      <c r="V4" s="106">
        <f t="shared" si="0"/>
        <v>11901826.926133335</v>
      </c>
      <c r="W4" s="106">
        <f t="shared" si="0"/>
        <v>6320642.5700000003</v>
      </c>
      <c r="X4" s="106">
        <f t="shared" si="0"/>
        <v>22503700.740000002</v>
      </c>
      <c r="Y4" s="106">
        <f t="shared" si="0"/>
        <v>51076883.57</v>
      </c>
      <c r="Z4" s="106">
        <f t="shared" si="0"/>
        <v>1275000</v>
      </c>
      <c r="AA4" s="106">
        <f t="shared" si="0"/>
        <v>0</v>
      </c>
      <c r="AB4" s="106">
        <f t="shared" si="0"/>
        <v>2603874.41</v>
      </c>
      <c r="AC4" s="106">
        <f t="shared" si="0"/>
        <v>0</v>
      </c>
      <c r="AD4" s="106">
        <f t="shared" si="0"/>
        <v>1300000</v>
      </c>
      <c r="AE4" s="106">
        <f t="shared" si="0"/>
        <v>0</v>
      </c>
      <c r="AF4" s="106">
        <f t="shared" si="0"/>
        <v>839644.46999999974</v>
      </c>
      <c r="AG4" s="106">
        <f t="shared" si="0"/>
        <v>6320642.5700000003</v>
      </c>
      <c r="AH4" s="106">
        <f t="shared" si="0"/>
        <v>6018518.8799999999</v>
      </c>
      <c r="AI4" s="106">
        <f t="shared" si="0"/>
        <v>98331304.849999994</v>
      </c>
      <c r="AJ4" s="106">
        <f t="shared" si="0"/>
        <v>100000</v>
      </c>
      <c r="AK4" s="106">
        <f t="shared" si="0"/>
        <v>0</v>
      </c>
      <c r="AL4" s="106">
        <f t="shared" ref="AL4:BF4" si="1">AL6+AL12+AL19</f>
        <v>100000</v>
      </c>
      <c r="AM4" s="106">
        <f t="shared" si="1"/>
        <v>0</v>
      </c>
      <c r="AN4" s="106">
        <f t="shared" si="1"/>
        <v>100000</v>
      </c>
      <c r="AO4" s="106">
        <f t="shared" si="1"/>
        <v>0</v>
      </c>
      <c r="AP4" s="106">
        <f t="shared" si="1"/>
        <v>100000</v>
      </c>
      <c r="AQ4" s="106">
        <f t="shared" si="1"/>
        <v>0</v>
      </c>
      <c r="AR4" s="106">
        <f t="shared" si="1"/>
        <v>400000</v>
      </c>
      <c r="AS4" s="106">
        <f t="shared" si="1"/>
        <v>0</v>
      </c>
      <c r="AT4" s="106">
        <f t="shared" si="1"/>
        <v>100000</v>
      </c>
      <c r="AU4" s="106">
        <f t="shared" si="1"/>
        <v>0</v>
      </c>
      <c r="AV4" s="106">
        <f t="shared" si="1"/>
        <v>100000</v>
      </c>
      <c r="AW4" s="106">
        <f t="shared" si="1"/>
        <v>0</v>
      </c>
      <c r="AX4" s="106">
        <f t="shared" si="1"/>
        <v>100000</v>
      </c>
      <c r="AY4" s="106">
        <f t="shared" si="1"/>
        <v>0</v>
      </c>
      <c r="AZ4" s="106">
        <f t="shared" si="1"/>
        <v>50000</v>
      </c>
      <c r="BA4" s="106">
        <f t="shared" si="1"/>
        <v>0</v>
      </c>
      <c r="BB4" s="106">
        <f t="shared" si="1"/>
        <v>350000</v>
      </c>
      <c r="BC4" s="106">
        <f t="shared" si="1"/>
        <v>0</v>
      </c>
      <c r="BD4" s="101">
        <f t="shared" si="1"/>
        <v>71179436.099999994</v>
      </c>
      <c r="BE4" s="101">
        <f t="shared" si="1"/>
        <v>248484999.69799998</v>
      </c>
      <c r="BF4" s="101">
        <f t="shared" si="1"/>
        <v>319664435.79799998</v>
      </c>
    </row>
    <row r="5" spans="1:58" ht="39" customHeight="1" x14ac:dyDescent="0.25">
      <c r="A5" s="219" t="s">
        <v>229</v>
      </c>
      <c r="B5" s="101"/>
      <c r="C5" s="101"/>
      <c r="D5" s="101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1"/>
      <c r="BE5" s="101"/>
      <c r="BF5" s="101"/>
    </row>
    <row r="6" spans="1:58" ht="27" customHeight="1" x14ac:dyDescent="0.25">
      <c r="A6" s="102" t="s">
        <v>79</v>
      </c>
      <c r="B6" s="103">
        <f>B7+B8+B9+B10</f>
        <v>11695293.050000001</v>
      </c>
      <c r="C6" s="103">
        <f>C7+C8+C9+C10</f>
        <v>70753188.965999991</v>
      </c>
      <c r="D6" s="103">
        <f>B6+C6</f>
        <v>82448482.015999988</v>
      </c>
      <c r="F6" s="131">
        <f t="shared" ref="F6:AK6" si="2">SUM(F7:F10)</f>
        <v>0</v>
      </c>
      <c r="G6" s="131">
        <f t="shared" si="2"/>
        <v>0</v>
      </c>
      <c r="H6" s="131">
        <f t="shared" si="2"/>
        <v>0</v>
      </c>
      <c r="I6" s="131">
        <f t="shared" si="2"/>
        <v>0</v>
      </c>
      <c r="J6" s="131">
        <f t="shared" si="2"/>
        <v>948930</v>
      </c>
      <c r="K6" s="131">
        <f t="shared" si="2"/>
        <v>0</v>
      </c>
      <c r="L6" s="131">
        <f t="shared" si="2"/>
        <v>616310</v>
      </c>
      <c r="M6" s="131">
        <f t="shared" si="2"/>
        <v>54891188.965999998</v>
      </c>
      <c r="N6" s="131">
        <f t="shared" si="2"/>
        <v>1050904</v>
      </c>
      <c r="O6" s="131">
        <f t="shared" si="2"/>
        <v>54891188.965999998</v>
      </c>
      <c r="P6" s="131">
        <f t="shared" si="2"/>
        <v>425000</v>
      </c>
      <c r="Q6" s="131">
        <f t="shared" si="2"/>
        <v>0</v>
      </c>
      <c r="R6" s="131">
        <f t="shared" si="2"/>
        <v>425000</v>
      </c>
      <c r="S6" s="131">
        <f t="shared" si="2"/>
        <v>0</v>
      </c>
      <c r="T6" s="131">
        <f t="shared" si="2"/>
        <v>5211498.8332000002</v>
      </c>
      <c r="U6" s="131">
        <f t="shared" si="2"/>
        <v>0</v>
      </c>
      <c r="V6" s="131">
        <f t="shared" si="2"/>
        <v>3482890.0867999997</v>
      </c>
      <c r="W6" s="131">
        <f t="shared" si="2"/>
        <v>0</v>
      </c>
      <c r="X6" s="131">
        <f t="shared" si="2"/>
        <v>9544389.9199999999</v>
      </c>
      <c r="Y6" s="131">
        <f t="shared" si="2"/>
        <v>15862000</v>
      </c>
      <c r="Z6" s="131">
        <f t="shared" si="2"/>
        <v>75000</v>
      </c>
      <c r="AA6" s="131">
        <f t="shared" si="2"/>
        <v>0</v>
      </c>
      <c r="AB6" s="131">
        <f t="shared" si="2"/>
        <v>75000</v>
      </c>
      <c r="AC6" s="131">
        <f t="shared" si="2"/>
        <v>0</v>
      </c>
      <c r="AD6" s="131">
        <f t="shared" si="2"/>
        <v>100000</v>
      </c>
      <c r="AE6" s="131">
        <f t="shared" si="2"/>
        <v>0</v>
      </c>
      <c r="AF6" s="131">
        <f t="shared" si="2"/>
        <v>100000</v>
      </c>
      <c r="AG6" s="131">
        <f t="shared" si="2"/>
        <v>0</v>
      </c>
      <c r="AH6" s="131">
        <f t="shared" si="2"/>
        <v>350000</v>
      </c>
      <c r="AI6" s="131">
        <f t="shared" si="2"/>
        <v>0</v>
      </c>
      <c r="AJ6" s="131">
        <f t="shared" si="2"/>
        <v>100000</v>
      </c>
      <c r="AK6" s="131">
        <f t="shared" si="2"/>
        <v>0</v>
      </c>
      <c r="AL6" s="131">
        <f t="shared" ref="AL6:BF6" si="3">SUM(AL7:AL10)</f>
        <v>100000</v>
      </c>
      <c r="AM6" s="131">
        <f t="shared" si="3"/>
        <v>0</v>
      </c>
      <c r="AN6" s="131">
        <f t="shared" si="3"/>
        <v>100000</v>
      </c>
      <c r="AO6" s="131">
        <f t="shared" si="3"/>
        <v>0</v>
      </c>
      <c r="AP6" s="131">
        <f t="shared" si="3"/>
        <v>100000</v>
      </c>
      <c r="AQ6" s="131">
        <f t="shared" si="3"/>
        <v>0</v>
      </c>
      <c r="AR6" s="131">
        <f t="shared" si="3"/>
        <v>400000</v>
      </c>
      <c r="AS6" s="131">
        <f t="shared" si="3"/>
        <v>0</v>
      </c>
      <c r="AT6" s="131">
        <f t="shared" si="3"/>
        <v>100000</v>
      </c>
      <c r="AU6" s="131">
        <f t="shared" si="3"/>
        <v>0</v>
      </c>
      <c r="AV6" s="131">
        <f t="shared" si="3"/>
        <v>100000</v>
      </c>
      <c r="AW6" s="131">
        <f t="shared" si="3"/>
        <v>0</v>
      </c>
      <c r="AX6" s="131">
        <f t="shared" si="3"/>
        <v>100000</v>
      </c>
      <c r="AY6" s="131">
        <f t="shared" si="3"/>
        <v>0</v>
      </c>
      <c r="AZ6" s="131">
        <f t="shared" si="3"/>
        <v>50000</v>
      </c>
      <c r="BA6" s="131">
        <f t="shared" si="3"/>
        <v>0</v>
      </c>
      <c r="BB6" s="131">
        <f t="shared" si="3"/>
        <v>350000</v>
      </c>
      <c r="BC6" s="131">
        <f t="shared" si="3"/>
        <v>0</v>
      </c>
      <c r="BD6" s="131">
        <f t="shared" si="3"/>
        <v>11695292.92</v>
      </c>
      <c r="BE6" s="131">
        <f t="shared" si="3"/>
        <v>70753188.965999991</v>
      </c>
      <c r="BF6" s="131">
        <f t="shared" si="3"/>
        <v>82448481.885999992</v>
      </c>
    </row>
    <row r="7" spans="1:58" ht="31.5" customHeight="1" x14ac:dyDescent="0.25">
      <c r="A7" s="223" t="s">
        <v>194</v>
      </c>
      <c r="B7" s="105">
        <v>1250000</v>
      </c>
      <c r="C7" s="105">
        <v>0</v>
      </c>
      <c r="D7" s="106">
        <f t="shared" ref="D7:D10" si="4">B7+C7</f>
        <v>1250000</v>
      </c>
      <c r="F7" s="106">
        <f>'[4]Simulação Real Aberta'!F8</f>
        <v>0</v>
      </c>
      <c r="G7" s="106">
        <f>'[4]Simulação Real Aberta'!G8</f>
        <v>0</v>
      </c>
      <c r="H7" s="106">
        <f>'[4]Simulação Real Aberta'!H8</f>
        <v>0</v>
      </c>
      <c r="I7" s="106">
        <f>'[4]Simulação Real Aberta'!I8</f>
        <v>0</v>
      </c>
      <c r="J7" s="106">
        <f>'[4]Simulação Real Aberta'!J8</f>
        <v>0</v>
      </c>
      <c r="K7" s="106">
        <f>'[4]Simulação Real Aberta'!K8</f>
        <v>0</v>
      </c>
      <c r="L7" s="106">
        <f>'[4]Simulação Real Aberta'!L8</f>
        <v>0</v>
      </c>
      <c r="M7" s="106">
        <f>'[4]Simulação Real Aberta'!M8</f>
        <v>0</v>
      </c>
      <c r="N7" s="106">
        <f>'[4]Simulação Real Aberta'!N8</f>
        <v>0</v>
      </c>
      <c r="O7" s="106">
        <f>'[4]Simulação Real Aberta'!O8</f>
        <v>0</v>
      </c>
      <c r="P7" s="106">
        <f>'[4]Simulação Real Aberta'!P8</f>
        <v>25000</v>
      </c>
      <c r="Q7" s="106">
        <f>'[4]Simulação Real Aberta'!Q8</f>
        <v>0</v>
      </c>
      <c r="R7" s="106">
        <f>'[4]Simulação Real Aberta'!R8</f>
        <v>25000</v>
      </c>
      <c r="S7" s="106">
        <f>'[4]Simulação Real Aberta'!S8</f>
        <v>0</v>
      </c>
      <c r="T7" s="106">
        <f>'[4]Simulação Real Aberta'!T8</f>
        <v>50000</v>
      </c>
      <c r="U7" s="106">
        <f>'[4]Simulação Real Aberta'!U8</f>
        <v>0</v>
      </c>
      <c r="V7" s="106">
        <f>'[4]Simulação Real Aberta'!V8</f>
        <v>50000</v>
      </c>
      <c r="W7" s="106">
        <f>'[4]Simulação Real Aberta'!W8</f>
        <v>0</v>
      </c>
      <c r="X7" s="106">
        <f>'[4]Simulação Real Aberta'!X8</f>
        <v>150000</v>
      </c>
      <c r="Y7" s="106">
        <f>'[4]Simulação Real Aberta'!Y8</f>
        <v>0</v>
      </c>
      <c r="Z7" s="106">
        <f>'[4]Simulação Real Aberta'!Z8</f>
        <v>75000</v>
      </c>
      <c r="AA7" s="106">
        <f>'[4]Simulação Real Aberta'!AA8</f>
        <v>0</v>
      </c>
      <c r="AB7" s="106">
        <f>'[4]Simulação Real Aberta'!AB8</f>
        <v>75000</v>
      </c>
      <c r="AC7" s="106">
        <f>'[4]Simulação Real Aberta'!AC8</f>
        <v>0</v>
      </c>
      <c r="AD7" s="106">
        <f>'[4]Simulação Real Aberta'!AD8</f>
        <v>100000</v>
      </c>
      <c r="AE7" s="106">
        <f>'[4]Simulação Real Aberta'!AE8</f>
        <v>0</v>
      </c>
      <c r="AF7" s="106">
        <f>'[4]Simulação Real Aberta'!AF8</f>
        <v>100000</v>
      </c>
      <c r="AG7" s="106">
        <f>'[4]Simulação Real Aberta'!AG8</f>
        <v>0</v>
      </c>
      <c r="AH7" s="106">
        <f>'[4]Simulação Real Aberta'!AH8</f>
        <v>350000</v>
      </c>
      <c r="AI7" s="106">
        <f>'[4]Simulação Real Aberta'!AI8</f>
        <v>0</v>
      </c>
      <c r="AJ7" s="106">
        <f>'[4]Simulação Real Aberta'!AJ8</f>
        <v>100000</v>
      </c>
      <c r="AK7" s="106">
        <f>'[4]Simulação Real Aberta'!AK8</f>
        <v>0</v>
      </c>
      <c r="AL7" s="106">
        <f>'[4]Simulação Real Aberta'!AL8</f>
        <v>100000</v>
      </c>
      <c r="AM7" s="106">
        <f>'[4]Simulação Real Aberta'!AM8</f>
        <v>0</v>
      </c>
      <c r="AN7" s="106">
        <f>'[4]Simulação Real Aberta'!AN8</f>
        <v>100000</v>
      </c>
      <c r="AO7" s="106">
        <f>'[4]Simulação Real Aberta'!AO8</f>
        <v>0</v>
      </c>
      <c r="AP7" s="106">
        <f>'[4]Simulação Real Aberta'!AP8</f>
        <v>100000</v>
      </c>
      <c r="AQ7" s="106">
        <f>'[4]Simulação Real Aberta'!AQ8</f>
        <v>0</v>
      </c>
      <c r="AR7" s="106">
        <f>'[4]Simulação Real Aberta'!AR8</f>
        <v>400000</v>
      </c>
      <c r="AS7" s="106">
        <f>'[4]Simulação Real Aberta'!AS8</f>
        <v>0</v>
      </c>
      <c r="AT7" s="106">
        <f>'[4]Simulação Real Aberta'!AT8</f>
        <v>100000</v>
      </c>
      <c r="AU7" s="106">
        <f>'[4]Simulação Real Aberta'!AU8</f>
        <v>0</v>
      </c>
      <c r="AV7" s="106">
        <f>'[4]Simulação Real Aberta'!AV8</f>
        <v>100000</v>
      </c>
      <c r="AW7" s="106">
        <f>'[4]Simulação Real Aberta'!AW8</f>
        <v>0</v>
      </c>
      <c r="AX7" s="106">
        <f>'[4]Simulação Real Aberta'!AX8</f>
        <v>100000</v>
      </c>
      <c r="AY7" s="106">
        <f>'[4]Simulação Real Aberta'!AY8</f>
        <v>0</v>
      </c>
      <c r="AZ7" s="106">
        <f>'[4]Simulação Real Aberta'!AZ8</f>
        <v>50000</v>
      </c>
      <c r="BA7" s="106">
        <f>'[4]Simulação Real Aberta'!BA8</f>
        <v>0</v>
      </c>
      <c r="BB7" s="106">
        <f>'[4]Simulação Real Aberta'!BB8</f>
        <v>350000</v>
      </c>
      <c r="BC7" s="106">
        <f>'[4]Simulação Real Aberta'!BC8</f>
        <v>0</v>
      </c>
      <c r="BD7" s="106">
        <f>'[4]Simulação Real Aberta'!BD8</f>
        <v>1250000</v>
      </c>
      <c r="BE7" s="106">
        <f>'[4]Simulação Real Aberta'!BE8</f>
        <v>0</v>
      </c>
      <c r="BF7" s="106">
        <f>'[4]Simulação Real Aberta'!BF8</f>
        <v>1250000</v>
      </c>
    </row>
    <row r="8" spans="1:58" x14ac:dyDescent="0.25">
      <c r="A8" s="224" t="s">
        <v>83</v>
      </c>
      <c r="B8" s="112">
        <v>0</v>
      </c>
      <c r="C8" s="112">
        <v>15862000</v>
      </c>
      <c r="D8" s="113">
        <f t="shared" si="4"/>
        <v>15862000</v>
      </c>
      <c r="F8" s="106">
        <f>'[4]Simulação Real Aberta'!F9</f>
        <v>0</v>
      </c>
      <c r="G8" s="106">
        <f>'[4]Simulação Real Aberta'!G9</f>
        <v>0</v>
      </c>
      <c r="H8" s="106">
        <f>'[4]Simulação Real Aberta'!H9</f>
        <v>0</v>
      </c>
      <c r="I8" s="106">
        <f>'[4]Simulação Real Aberta'!I9</f>
        <v>0</v>
      </c>
      <c r="J8" s="106">
        <f>'[4]Simulação Real Aberta'!J9</f>
        <v>0</v>
      </c>
      <c r="K8" s="106">
        <f>'[4]Simulação Real Aberta'!K9</f>
        <v>0</v>
      </c>
      <c r="L8" s="106">
        <f>'[4]Simulação Real Aberta'!L9</f>
        <v>0</v>
      </c>
      <c r="M8" s="106">
        <f>'[4]Simulação Real Aberta'!M9</f>
        <v>0</v>
      </c>
      <c r="N8" s="106">
        <f>'[4]Simulação Real Aberta'!N9</f>
        <v>0</v>
      </c>
      <c r="O8" s="106">
        <f>'[4]Simulação Real Aberta'!O9</f>
        <v>0</v>
      </c>
      <c r="P8" s="106">
        <f>'[4]Simulação Real Aberta'!P9</f>
        <v>0</v>
      </c>
      <c r="Q8" s="106">
        <f>'[4]Simulação Real Aberta'!Q9</f>
        <v>0</v>
      </c>
      <c r="R8" s="106">
        <f>'[4]Simulação Real Aberta'!R9</f>
        <v>0</v>
      </c>
      <c r="S8" s="106">
        <f>'[4]Simulação Real Aberta'!S9</f>
        <v>0</v>
      </c>
      <c r="T8" s="106">
        <f>'[4]Simulação Real Aberta'!T9</f>
        <v>0</v>
      </c>
      <c r="U8" s="106">
        <f>'[4]Simulação Real Aberta'!U9</f>
        <v>0</v>
      </c>
      <c r="V8" s="106">
        <f>'[4]Simulação Real Aberta'!V9</f>
        <v>0</v>
      </c>
      <c r="W8" s="106">
        <f>'[4]Simulação Real Aberta'!W9</f>
        <v>0</v>
      </c>
      <c r="X8" s="106">
        <f>'[4]Simulação Real Aberta'!X9</f>
        <v>0</v>
      </c>
      <c r="Y8" s="106">
        <f>'[4]Simulação Real Aberta'!Y9</f>
        <v>15862000</v>
      </c>
      <c r="Z8" s="106">
        <f>'[4]Simulação Real Aberta'!Z9</f>
        <v>0</v>
      </c>
      <c r="AA8" s="106">
        <f>'[4]Simulação Real Aberta'!AA9</f>
        <v>0</v>
      </c>
      <c r="AB8" s="106">
        <f>'[4]Simulação Real Aberta'!AB9</f>
        <v>0</v>
      </c>
      <c r="AC8" s="106">
        <f>'[4]Simulação Real Aberta'!AC9</f>
        <v>0</v>
      </c>
      <c r="AD8" s="106">
        <f>'[4]Simulação Real Aberta'!AD9</f>
        <v>0</v>
      </c>
      <c r="AE8" s="106">
        <f>'[4]Simulação Real Aberta'!AE9</f>
        <v>0</v>
      </c>
      <c r="AF8" s="106">
        <f>'[4]Simulação Real Aberta'!AF9</f>
        <v>0</v>
      </c>
      <c r="AG8" s="106">
        <f>'[4]Simulação Real Aberta'!AG9</f>
        <v>0</v>
      </c>
      <c r="AH8" s="106">
        <f>'[4]Simulação Real Aberta'!AH9</f>
        <v>0</v>
      </c>
      <c r="AI8" s="106">
        <f>'[4]Simulação Real Aberta'!AI9</f>
        <v>0</v>
      </c>
      <c r="AJ8" s="106">
        <f>'[4]Simulação Real Aberta'!AJ9</f>
        <v>0</v>
      </c>
      <c r="AK8" s="106">
        <f>'[4]Simulação Real Aberta'!AK9</f>
        <v>0</v>
      </c>
      <c r="AL8" s="106">
        <f>'[4]Simulação Real Aberta'!AL9</f>
        <v>0</v>
      </c>
      <c r="AM8" s="106">
        <f>'[4]Simulação Real Aberta'!AM9</f>
        <v>0</v>
      </c>
      <c r="AN8" s="106">
        <f>'[4]Simulação Real Aberta'!AN9</f>
        <v>0</v>
      </c>
      <c r="AO8" s="106">
        <f>'[4]Simulação Real Aberta'!AO9</f>
        <v>0</v>
      </c>
      <c r="AP8" s="106">
        <f>'[4]Simulação Real Aberta'!AP9</f>
        <v>0</v>
      </c>
      <c r="AQ8" s="106">
        <f>'[4]Simulação Real Aberta'!AQ9</f>
        <v>0</v>
      </c>
      <c r="AR8" s="106">
        <f>'[4]Simulação Real Aberta'!AR9</f>
        <v>0</v>
      </c>
      <c r="AS8" s="106">
        <f>'[4]Simulação Real Aberta'!AS9</f>
        <v>0</v>
      </c>
      <c r="AT8" s="106">
        <f>'[4]Simulação Real Aberta'!AT9</f>
        <v>0</v>
      </c>
      <c r="AU8" s="106">
        <f>'[4]Simulação Real Aberta'!AU9</f>
        <v>0</v>
      </c>
      <c r="AV8" s="106">
        <f>'[4]Simulação Real Aberta'!AV9</f>
        <v>0</v>
      </c>
      <c r="AW8" s="106">
        <f>'[4]Simulação Real Aberta'!AW9</f>
        <v>0</v>
      </c>
      <c r="AX8" s="106">
        <f>'[4]Simulação Real Aberta'!AX9</f>
        <v>0</v>
      </c>
      <c r="AY8" s="106">
        <f>'[4]Simulação Real Aberta'!AY9</f>
        <v>0</v>
      </c>
      <c r="AZ8" s="106">
        <f>'[4]Simulação Real Aberta'!AZ9</f>
        <v>0</v>
      </c>
      <c r="BA8" s="106">
        <f>'[4]Simulação Real Aberta'!BA9</f>
        <v>0</v>
      </c>
      <c r="BB8" s="106">
        <f>'[4]Simulação Real Aberta'!BB9</f>
        <v>0</v>
      </c>
      <c r="BC8" s="106">
        <f>'[4]Simulação Real Aberta'!BC9</f>
        <v>0</v>
      </c>
      <c r="BD8" s="106">
        <f>'[4]Simulação Real Aberta'!BD9</f>
        <v>0</v>
      </c>
      <c r="BE8" s="106">
        <f>'[4]Simulação Real Aberta'!BE9</f>
        <v>15862000</v>
      </c>
      <c r="BF8" s="106">
        <f>'[4]Simulação Real Aberta'!BF9</f>
        <v>15862000</v>
      </c>
    </row>
    <row r="9" spans="1:58" ht="24" x14ac:dyDescent="0.25">
      <c r="A9" s="110" t="s">
        <v>195</v>
      </c>
      <c r="B9" s="105">
        <v>2036963.34</v>
      </c>
      <c r="C9" s="112">
        <f>BE9</f>
        <v>54891188.965999998</v>
      </c>
      <c r="D9" s="106">
        <f t="shared" si="4"/>
        <v>56928152.306000002</v>
      </c>
      <c r="F9" s="106"/>
      <c r="G9" s="106"/>
      <c r="H9" s="106"/>
      <c r="I9" s="106"/>
      <c r="J9" s="106">
        <v>300000</v>
      </c>
      <c r="K9" s="106"/>
      <c r="L9" s="106">
        <v>400000</v>
      </c>
      <c r="M9" s="106">
        <f>SUM('[4]Simulação Real Aberta'!O15:O20)+'[4]Simulação Real Aberta'!O13</f>
        <v>54891188.965999998</v>
      </c>
      <c r="N9" s="106">
        <v>185664</v>
      </c>
      <c r="O9" s="106">
        <f>+M9+K9+G9+I9</f>
        <v>54891188.965999998</v>
      </c>
      <c r="P9" s="106">
        <v>400000</v>
      </c>
      <c r="Q9" s="106"/>
      <c r="R9" s="106">
        <v>400000</v>
      </c>
      <c r="S9" s="106"/>
      <c r="T9" s="106">
        <f>400000+251299</f>
        <v>651299</v>
      </c>
      <c r="U9" s="106"/>
      <c r="V9" s="106">
        <v>400000</v>
      </c>
      <c r="W9" s="106"/>
      <c r="X9" s="106">
        <f>+V9+T9+P9+R9</f>
        <v>1851299</v>
      </c>
      <c r="Y9" s="106">
        <f>+W9+U9+Q9+S9</f>
        <v>0</v>
      </c>
      <c r="Z9" s="106">
        <v>0</v>
      </c>
      <c r="AA9" s="106"/>
      <c r="AB9" s="106">
        <v>0</v>
      </c>
      <c r="AC9" s="106"/>
      <c r="AD9" s="106">
        <v>0</v>
      </c>
      <c r="AE9" s="106"/>
      <c r="AF9" s="106">
        <v>0</v>
      </c>
      <c r="AG9" s="106"/>
      <c r="AH9" s="106">
        <f>+AF9+AD9+Z9+AB9</f>
        <v>0</v>
      </c>
      <c r="AI9" s="106">
        <f>+AG9+AE9+AA9+AC9</f>
        <v>0</v>
      </c>
      <c r="AJ9" s="106"/>
      <c r="AK9" s="106"/>
      <c r="AL9" s="106"/>
      <c r="AM9" s="106"/>
      <c r="AN9" s="106"/>
      <c r="AO9" s="106"/>
      <c r="AP9" s="106"/>
      <c r="AQ9" s="106"/>
      <c r="AR9" s="106">
        <f>+AP9+AN9+AJ9+AL9</f>
        <v>0</v>
      </c>
      <c r="AS9" s="106">
        <f>+AQ9+AO9+AK9+AM9</f>
        <v>0</v>
      </c>
      <c r="AT9" s="106"/>
      <c r="AU9" s="106"/>
      <c r="AV9" s="106"/>
      <c r="AW9" s="106"/>
      <c r="AX9" s="106"/>
      <c r="AY9" s="106"/>
      <c r="AZ9" s="106"/>
      <c r="BA9" s="106"/>
      <c r="BB9" s="106">
        <f>+AZ9+AX9+AT9+AV9</f>
        <v>0</v>
      </c>
      <c r="BC9" s="106">
        <f>+BA9+AY9+AU9+AW9</f>
        <v>0</v>
      </c>
      <c r="BD9" s="106">
        <f>+BB9+AR9+AH9+X9+N9</f>
        <v>2036963</v>
      </c>
      <c r="BE9" s="106">
        <f>+BC9+AS9+AI9+Y9+O9</f>
        <v>54891188.965999998</v>
      </c>
      <c r="BF9" s="106">
        <f>BD9+BE9</f>
        <v>56928151.965999998</v>
      </c>
    </row>
    <row r="10" spans="1:58" x14ac:dyDescent="0.25">
      <c r="A10" s="110" t="s">
        <v>196</v>
      </c>
      <c r="B10" s="105">
        <f>8408328.71+1</f>
        <v>8408329.7100000009</v>
      </c>
      <c r="C10" s="105">
        <v>0</v>
      </c>
      <c r="D10" s="106">
        <f t="shared" si="4"/>
        <v>8408329.7100000009</v>
      </c>
      <c r="F10" s="106">
        <f>'[4]Simulação Real Aberta'!F21+'[4]Simulação Real Aberta'!F22+'[4]Simulação Real Aberta'!F23+'[4]Simulação Real Aberta'!F24+'[4]Simulação Real Aberta'!F25+'[4]Simulação Real Aberta'!F26+'[4]Simulação Real Aberta'!F27+'[4]Simulação Real Aberta'!F28+'[4]Simulação Real Aberta'!F29+'[4]Simulação Real Aberta'!F30+'[4]Simulação Real Aberta'!F31+'[4]Simulação Real Aberta'!F32</f>
        <v>0</v>
      </c>
      <c r="G10" s="106">
        <f>'[4]Simulação Real Aberta'!G21+'[4]Simulação Real Aberta'!G22+'[4]Simulação Real Aberta'!G23+'[4]Simulação Real Aberta'!G24+'[4]Simulação Real Aberta'!G25+'[4]Simulação Real Aberta'!G26+'[4]Simulação Real Aberta'!G27+'[4]Simulação Real Aberta'!G28+'[4]Simulação Real Aberta'!G29+'[4]Simulação Real Aberta'!G30+'[4]Simulação Real Aberta'!G31+'[4]Simulação Real Aberta'!G32</f>
        <v>0</v>
      </c>
      <c r="H10" s="106">
        <f>'[4]Simulação Real Aberta'!H21+'[4]Simulação Real Aberta'!H22+'[4]Simulação Real Aberta'!H23+'[4]Simulação Real Aberta'!H24+'[4]Simulação Real Aberta'!H25+'[4]Simulação Real Aberta'!H26+'[4]Simulação Real Aberta'!H27+'[4]Simulação Real Aberta'!H28+'[4]Simulação Real Aberta'!H29+'[4]Simulação Real Aberta'!H30+'[4]Simulação Real Aberta'!H31+'[4]Simulação Real Aberta'!H32</f>
        <v>0</v>
      </c>
      <c r="I10" s="106">
        <f>'[4]Simulação Real Aberta'!I21+'[4]Simulação Real Aberta'!I22+'[4]Simulação Real Aberta'!I23+'[4]Simulação Real Aberta'!I24+'[4]Simulação Real Aberta'!I25+'[4]Simulação Real Aberta'!I26+'[4]Simulação Real Aberta'!I27+'[4]Simulação Real Aberta'!I28+'[4]Simulação Real Aberta'!I29+'[4]Simulação Real Aberta'!I30+'[4]Simulação Real Aberta'!I31+'[4]Simulação Real Aberta'!I32</f>
        <v>0</v>
      </c>
      <c r="J10" s="106">
        <f>'[4]Simulação Real Aberta'!J21+'[4]Simulação Real Aberta'!J22+'[4]Simulação Real Aberta'!J23+'[4]Simulação Real Aberta'!J24+'[4]Simulação Real Aberta'!J25+'[4]Simulação Real Aberta'!J26+'[4]Simulação Real Aberta'!J27+'[4]Simulação Real Aberta'!J28+'[4]Simulação Real Aberta'!J29+'[4]Simulação Real Aberta'!J30+'[4]Simulação Real Aberta'!J31+'[4]Simulação Real Aberta'!J32</f>
        <v>648930</v>
      </c>
      <c r="K10" s="106">
        <f>'[4]Simulação Real Aberta'!K21+'[4]Simulação Real Aberta'!K22+'[4]Simulação Real Aberta'!K23+'[4]Simulação Real Aberta'!K24+'[4]Simulação Real Aberta'!K25+'[4]Simulação Real Aberta'!K26+'[4]Simulação Real Aberta'!K27+'[4]Simulação Real Aberta'!K28+'[4]Simulação Real Aberta'!K29+'[4]Simulação Real Aberta'!K30+'[4]Simulação Real Aberta'!K31+'[4]Simulação Real Aberta'!K32</f>
        <v>0</v>
      </c>
      <c r="L10" s="106">
        <f>'[4]Simulação Real Aberta'!L21+'[4]Simulação Real Aberta'!L22+'[4]Simulação Real Aberta'!L23+'[4]Simulação Real Aberta'!L24+'[4]Simulação Real Aberta'!L25+'[4]Simulação Real Aberta'!L26+'[4]Simulação Real Aberta'!L27+'[4]Simulação Real Aberta'!L28+'[4]Simulação Real Aberta'!L29+'[4]Simulação Real Aberta'!L30+'[4]Simulação Real Aberta'!L31+'[4]Simulação Real Aberta'!L32</f>
        <v>216310</v>
      </c>
      <c r="M10" s="106">
        <f>'[4]Simulação Real Aberta'!M21+'[4]Simulação Real Aberta'!M22+'[4]Simulação Real Aberta'!M23+'[4]Simulação Real Aberta'!M24+'[4]Simulação Real Aberta'!M25+'[4]Simulação Real Aberta'!M26+'[4]Simulação Real Aberta'!M27+'[4]Simulação Real Aberta'!M28+'[4]Simulação Real Aberta'!M29+'[4]Simulação Real Aberta'!M30+'[4]Simulação Real Aberta'!M31+'[4]Simulação Real Aberta'!M32</f>
        <v>0</v>
      </c>
      <c r="N10" s="106">
        <f>'[4]Simulação Real Aberta'!N21+'[4]Simulação Real Aberta'!N22+'[4]Simulação Real Aberta'!N23+'[4]Simulação Real Aberta'!N24+'[4]Simulação Real Aberta'!N25+'[4]Simulação Real Aberta'!N26+'[4]Simulação Real Aberta'!N27+'[4]Simulação Real Aberta'!N28+'[4]Simulação Real Aberta'!N29+'[4]Simulação Real Aberta'!N30+'[4]Simulação Real Aberta'!N31+'[4]Simulação Real Aberta'!N32</f>
        <v>865240</v>
      </c>
      <c r="O10" s="106">
        <f>'[4]Simulação Real Aberta'!O21+'[4]Simulação Real Aberta'!O22+'[4]Simulação Real Aberta'!O23+'[4]Simulação Real Aberta'!O24+'[4]Simulação Real Aberta'!O25+'[4]Simulação Real Aberta'!O26+'[4]Simulação Real Aberta'!O27+'[4]Simulação Real Aberta'!O28+'[4]Simulação Real Aberta'!O29+'[4]Simulação Real Aberta'!O30+'[4]Simulação Real Aberta'!O31+'[4]Simulação Real Aberta'!O32</f>
        <v>0</v>
      </c>
      <c r="P10" s="106">
        <f>'[4]Simulação Real Aberta'!P21+'[4]Simulação Real Aberta'!P22+'[4]Simulação Real Aberta'!P23+'[4]Simulação Real Aberta'!P24+'[4]Simulação Real Aberta'!P25+'[4]Simulação Real Aberta'!P26+'[4]Simulação Real Aberta'!P27+'[4]Simulação Real Aberta'!P28+'[4]Simulação Real Aberta'!P29+'[4]Simulação Real Aberta'!P30+'[4]Simulação Real Aberta'!P31+'[4]Simulação Real Aberta'!P32</f>
        <v>0</v>
      </c>
      <c r="Q10" s="106">
        <f>'[4]Simulação Real Aberta'!Q21+'[4]Simulação Real Aberta'!Q22+'[4]Simulação Real Aberta'!Q23+'[4]Simulação Real Aberta'!Q24+'[4]Simulação Real Aberta'!Q25+'[4]Simulação Real Aberta'!Q26+'[4]Simulação Real Aberta'!Q27+'[4]Simulação Real Aberta'!Q28+'[4]Simulação Real Aberta'!Q29+'[4]Simulação Real Aberta'!Q30+'[4]Simulação Real Aberta'!Q31+'[4]Simulação Real Aberta'!Q32</f>
        <v>0</v>
      </c>
      <c r="R10" s="106">
        <f>'[4]Simulação Real Aberta'!R21+'[4]Simulação Real Aberta'!R22+'[4]Simulação Real Aberta'!R23+'[4]Simulação Real Aberta'!R24+'[4]Simulação Real Aberta'!R25+'[4]Simulação Real Aberta'!R26+'[4]Simulação Real Aberta'!R27+'[4]Simulação Real Aberta'!R28+'[4]Simulação Real Aberta'!R29+'[4]Simulação Real Aberta'!R30+'[4]Simulação Real Aberta'!R31+'[4]Simulação Real Aberta'!R32</f>
        <v>0</v>
      </c>
      <c r="S10" s="106">
        <f>'[4]Simulação Real Aberta'!S21+'[4]Simulação Real Aberta'!S22+'[4]Simulação Real Aberta'!S23+'[4]Simulação Real Aberta'!S24+'[4]Simulação Real Aberta'!S25+'[4]Simulação Real Aberta'!S26+'[4]Simulação Real Aberta'!S27+'[4]Simulação Real Aberta'!S28+'[4]Simulação Real Aberta'!S29+'[4]Simulação Real Aberta'!S30+'[4]Simulação Real Aberta'!S31+'[4]Simulação Real Aberta'!S32</f>
        <v>0</v>
      </c>
      <c r="T10" s="106">
        <f>'[4]Simulação Real Aberta'!T21+'[4]Simulação Real Aberta'!T22+'[4]Simulação Real Aberta'!T23+'[4]Simulação Real Aberta'!T24+'[4]Simulação Real Aberta'!T25+'[4]Simulação Real Aberta'!T26+'[4]Simulação Real Aberta'!T27+'[4]Simulação Real Aberta'!T28+'[4]Simulação Real Aberta'!T29+'[4]Simulação Real Aberta'!T30+'[4]Simulação Real Aberta'!T31+'[4]Simulação Real Aberta'!T32</f>
        <v>4510199.8332000002</v>
      </c>
      <c r="U10" s="106">
        <f>'[4]Simulação Real Aberta'!U21+'[4]Simulação Real Aberta'!U22+'[4]Simulação Real Aberta'!U23+'[4]Simulação Real Aberta'!U24+'[4]Simulação Real Aberta'!U25+'[4]Simulação Real Aberta'!U26+'[4]Simulação Real Aberta'!U27+'[4]Simulação Real Aberta'!U28+'[4]Simulação Real Aberta'!U29+'[4]Simulação Real Aberta'!U30+'[4]Simulação Real Aberta'!U31+'[4]Simulação Real Aberta'!U32</f>
        <v>0</v>
      </c>
      <c r="V10" s="106">
        <f>'[4]Simulação Real Aberta'!V21+'[4]Simulação Real Aberta'!V22+'[4]Simulação Real Aberta'!V23+'[4]Simulação Real Aberta'!V24+'[4]Simulação Real Aberta'!V25+'[4]Simulação Real Aberta'!V26+'[4]Simulação Real Aberta'!V27+'[4]Simulação Real Aberta'!V28+'[4]Simulação Real Aberta'!V29+'[4]Simulação Real Aberta'!V30+'[4]Simulação Real Aberta'!V31+'[4]Simulação Real Aberta'!V32</f>
        <v>3032890.0867999997</v>
      </c>
      <c r="W10" s="106">
        <f>'[4]Simulação Real Aberta'!W21+'[4]Simulação Real Aberta'!W22+'[4]Simulação Real Aberta'!W23+'[4]Simulação Real Aberta'!W24+'[4]Simulação Real Aberta'!W25+'[4]Simulação Real Aberta'!W26+'[4]Simulação Real Aberta'!W27+'[4]Simulação Real Aberta'!W28+'[4]Simulação Real Aberta'!W29+'[4]Simulação Real Aberta'!W30+'[4]Simulação Real Aberta'!W31+'[4]Simulação Real Aberta'!W32</f>
        <v>0</v>
      </c>
      <c r="X10" s="106">
        <f>'[4]Simulação Real Aberta'!X21+'[4]Simulação Real Aberta'!X22+'[4]Simulação Real Aberta'!X23+'[4]Simulação Real Aberta'!X24+'[4]Simulação Real Aberta'!X25+'[4]Simulação Real Aberta'!X26+'[4]Simulação Real Aberta'!X27+'[4]Simulação Real Aberta'!X28+'[4]Simulação Real Aberta'!X29+'[4]Simulação Real Aberta'!X30+'[4]Simulação Real Aberta'!X31+'[4]Simulação Real Aberta'!X32+1</f>
        <v>7543090.9199999999</v>
      </c>
      <c r="Y10" s="106">
        <f>'[4]Simulação Real Aberta'!Y21+'[4]Simulação Real Aberta'!Y22+'[4]Simulação Real Aberta'!Y23+'[4]Simulação Real Aberta'!Y24+'[4]Simulação Real Aberta'!Y25+'[4]Simulação Real Aberta'!Y26+'[4]Simulação Real Aberta'!Y27+'[4]Simulação Real Aberta'!Y28+'[4]Simulação Real Aberta'!Y29+'[4]Simulação Real Aberta'!Y30+'[4]Simulação Real Aberta'!Y31+'[4]Simulação Real Aberta'!Y32</f>
        <v>0</v>
      </c>
      <c r="Z10" s="106">
        <f>'[4]Simulação Real Aberta'!Z21+'[4]Simulação Real Aberta'!Z22+'[4]Simulação Real Aberta'!Z23+'[4]Simulação Real Aberta'!Z24+'[4]Simulação Real Aberta'!Z25+'[4]Simulação Real Aberta'!Z26+'[4]Simulação Real Aberta'!Z27+'[4]Simulação Real Aberta'!Z28+'[4]Simulação Real Aberta'!Z29+'[4]Simulação Real Aberta'!Z30+'[4]Simulação Real Aberta'!Z31+'[4]Simulação Real Aberta'!Z32</f>
        <v>0</v>
      </c>
      <c r="AA10" s="106">
        <f>'[4]Simulação Real Aberta'!AA21+'[4]Simulação Real Aberta'!AA22+'[4]Simulação Real Aberta'!AA23+'[4]Simulação Real Aberta'!AA24+'[4]Simulação Real Aberta'!AA25+'[4]Simulação Real Aberta'!AA26+'[4]Simulação Real Aberta'!AA27+'[4]Simulação Real Aberta'!AA28+'[4]Simulação Real Aberta'!AA29+'[4]Simulação Real Aberta'!AA30+'[4]Simulação Real Aberta'!AA31+'[4]Simulação Real Aberta'!AA32</f>
        <v>0</v>
      </c>
      <c r="AB10" s="106">
        <f>'[4]Simulação Real Aberta'!AB21+'[4]Simulação Real Aberta'!AB22+'[4]Simulação Real Aberta'!AB23+'[4]Simulação Real Aberta'!AB24+'[4]Simulação Real Aberta'!AB25+'[4]Simulação Real Aberta'!AB26+'[4]Simulação Real Aberta'!AB27+'[4]Simulação Real Aberta'!AB28+'[4]Simulação Real Aberta'!AB29+'[4]Simulação Real Aberta'!AB30+'[4]Simulação Real Aberta'!AB31+'[4]Simulação Real Aberta'!AB32</f>
        <v>0</v>
      </c>
      <c r="AC10" s="106">
        <f>'[4]Simulação Real Aberta'!AC21+'[4]Simulação Real Aberta'!AC22+'[4]Simulação Real Aberta'!AC23+'[4]Simulação Real Aberta'!AC24+'[4]Simulação Real Aberta'!AC25+'[4]Simulação Real Aberta'!AC26+'[4]Simulação Real Aberta'!AC27+'[4]Simulação Real Aberta'!AC28+'[4]Simulação Real Aberta'!AC29+'[4]Simulação Real Aberta'!AC30+'[4]Simulação Real Aberta'!AC31+'[4]Simulação Real Aberta'!AC32</f>
        <v>0</v>
      </c>
      <c r="AD10" s="106">
        <f>'[4]Simulação Real Aberta'!AD21+'[4]Simulação Real Aberta'!AD22+'[4]Simulação Real Aberta'!AD23+'[4]Simulação Real Aberta'!AD24+'[4]Simulação Real Aberta'!AD25+'[4]Simulação Real Aberta'!AD26+'[4]Simulação Real Aberta'!AD27+'[4]Simulação Real Aberta'!AD28+'[4]Simulação Real Aberta'!AD29+'[4]Simulação Real Aberta'!AD30+'[4]Simulação Real Aberta'!AD31+'[4]Simulação Real Aberta'!AD32</f>
        <v>0</v>
      </c>
      <c r="AE10" s="106">
        <f>'[4]Simulação Real Aberta'!AE21+'[4]Simulação Real Aberta'!AE22+'[4]Simulação Real Aberta'!AE23+'[4]Simulação Real Aberta'!AE24+'[4]Simulação Real Aberta'!AE25+'[4]Simulação Real Aberta'!AE26+'[4]Simulação Real Aberta'!AE27+'[4]Simulação Real Aberta'!AE28+'[4]Simulação Real Aberta'!AE29+'[4]Simulação Real Aberta'!AE30+'[4]Simulação Real Aberta'!AE31+'[4]Simulação Real Aberta'!AE32</f>
        <v>0</v>
      </c>
      <c r="AF10" s="106">
        <f>'[4]Simulação Real Aberta'!AF21+'[4]Simulação Real Aberta'!AF22+'[4]Simulação Real Aberta'!AF23+'[4]Simulação Real Aberta'!AF24+'[4]Simulação Real Aberta'!AF25+'[4]Simulação Real Aberta'!AF26+'[4]Simulação Real Aberta'!AF27+'[4]Simulação Real Aberta'!AF28+'[4]Simulação Real Aberta'!AF29+'[4]Simulação Real Aberta'!AF30+'[4]Simulação Real Aberta'!AF31+'[4]Simulação Real Aberta'!AF32</f>
        <v>0</v>
      </c>
      <c r="AG10" s="106">
        <f>'[4]Simulação Real Aberta'!AG21+'[4]Simulação Real Aberta'!AG22+'[4]Simulação Real Aberta'!AG23+'[4]Simulação Real Aberta'!AG24+'[4]Simulação Real Aberta'!AG25+'[4]Simulação Real Aberta'!AG26+'[4]Simulação Real Aberta'!AG27+'[4]Simulação Real Aberta'!AG28+'[4]Simulação Real Aberta'!AG29+'[4]Simulação Real Aberta'!AG30+'[4]Simulação Real Aberta'!AG31+'[4]Simulação Real Aberta'!AG32</f>
        <v>0</v>
      </c>
      <c r="AH10" s="106">
        <f>'[4]Simulação Real Aberta'!AH21+'[4]Simulação Real Aberta'!AH22+'[4]Simulação Real Aberta'!AH23+'[4]Simulação Real Aberta'!AH24+'[4]Simulação Real Aberta'!AH25+'[4]Simulação Real Aberta'!AH26+'[4]Simulação Real Aberta'!AH27+'[4]Simulação Real Aberta'!AH28+'[4]Simulação Real Aberta'!AH29+'[4]Simulação Real Aberta'!AH30+'[4]Simulação Real Aberta'!AH31+'[4]Simulação Real Aberta'!AH32</f>
        <v>0</v>
      </c>
      <c r="AI10" s="106">
        <f>'[4]Simulação Real Aberta'!AI21+'[4]Simulação Real Aberta'!AI22+'[4]Simulação Real Aberta'!AI23+'[4]Simulação Real Aberta'!AI24+'[4]Simulação Real Aberta'!AI25+'[4]Simulação Real Aberta'!AI26+'[4]Simulação Real Aberta'!AI27+'[4]Simulação Real Aberta'!AI28+'[4]Simulação Real Aberta'!AI29+'[4]Simulação Real Aberta'!AI30+'[4]Simulação Real Aberta'!AI31+'[4]Simulação Real Aberta'!AI32</f>
        <v>0</v>
      </c>
      <c r="AJ10" s="106">
        <f>'[4]Simulação Real Aberta'!AJ21+'[4]Simulação Real Aberta'!AJ22+'[4]Simulação Real Aberta'!AJ23+'[4]Simulação Real Aberta'!AJ24+'[4]Simulação Real Aberta'!AJ25+'[4]Simulação Real Aberta'!AJ26+'[4]Simulação Real Aberta'!AJ27+'[4]Simulação Real Aberta'!AJ28+'[4]Simulação Real Aberta'!AJ29+'[4]Simulação Real Aberta'!AJ30+'[4]Simulação Real Aberta'!AJ31+'[4]Simulação Real Aberta'!AJ32</f>
        <v>0</v>
      </c>
      <c r="AK10" s="106">
        <f>'[4]Simulação Real Aberta'!AK21+'[4]Simulação Real Aberta'!AK22+'[4]Simulação Real Aberta'!AK23+'[4]Simulação Real Aberta'!AK24+'[4]Simulação Real Aberta'!AK25+'[4]Simulação Real Aberta'!AK26+'[4]Simulação Real Aberta'!AK27+'[4]Simulação Real Aberta'!AK28+'[4]Simulação Real Aberta'!AK29+'[4]Simulação Real Aberta'!AK30+'[4]Simulação Real Aberta'!AK31+'[4]Simulação Real Aberta'!AK32</f>
        <v>0</v>
      </c>
      <c r="AL10" s="106">
        <f>'[4]Simulação Real Aberta'!AL21+'[4]Simulação Real Aberta'!AL22+'[4]Simulação Real Aberta'!AL23+'[4]Simulação Real Aberta'!AL24+'[4]Simulação Real Aberta'!AL25+'[4]Simulação Real Aberta'!AL26+'[4]Simulação Real Aberta'!AL27+'[4]Simulação Real Aberta'!AL28+'[4]Simulação Real Aberta'!AL29+'[4]Simulação Real Aberta'!AL30+'[4]Simulação Real Aberta'!AL31+'[4]Simulação Real Aberta'!AL32</f>
        <v>0</v>
      </c>
      <c r="AM10" s="106">
        <f>'[4]Simulação Real Aberta'!AM21+'[4]Simulação Real Aberta'!AM22+'[4]Simulação Real Aberta'!AM23+'[4]Simulação Real Aberta'!AM24+'[4]Simulação Real Aberta'!AM25+'[4]Simulação Real Aberta'!AM26+'[4]Simulação Real Aberta'!AM27+'[4]Simulação Real Aberta'!AM28+'[4]Simulação Real Aberta'!AM29+'[4]Simulação Real Aberta'!AM30+'[4]Simulação Real Aberta'!AM31+'[4]Simulação Real Aberta'!AM32</f>
        <v>0</v>
      </c>
      <c r="AN10" s="106">
        <f>'[4]Simulação Real Aberta'!AN21+'[4]Simulação Real Aberta'!AN22+'[4]Simulação Real Aberta'!AN23+'[4]Simulação Real Aberta'!AN24+'[4]Simulação Real Aberta'!AN25+'[4]Simulação Real Aberta'!AN26+'[4]Simulação Real Aberta'!AN27+'[4]Simulação Real Aberta'!AN28+'[4]Simulação Real Aberta'!AN29+'[4]Simulação Real Aberta'!AN30+'[4]Simulação Real Aberta'!AN31+'[4]Simulação Real Aberta'!AN32</f>
        <v>0</v>
      </c>
      <c r="AO10" s="106">
        <f>'[4]Simulação Real Aberta'!AO21+'[4]Simulação Real Aberta'!AO22+'[4]Simulação Real Aberta'!AO23+'[4]Simulação Real Aberta'!AO24+'[4]Simulação Real Aberta'!AO25+'[4]Simulação Real Aberta'!AO26+'[4]Simulação Real Aberta'!AO27+'[4]Simulação Real Aberta'!AO28+'[4]Simulação Real Aberta'!AO29+'[4]Simulação Real Aberta'!AO30+'[4]Simulação Real Aberta'!AO31+'[4]Simulação Real Aberta'!AO32</f>
        <v>0</v>
      </c>
      <c r="AP10" s="106">
        <f>'[4]Simulação Real Aberta'!AP21+'[4]Simulação Real Aberta'!AP22+'[4]Simulação Real Aberta'!AP23+'[4]Simulação Real Aberta'!AP24+'[4]Simulação Real Aberta'!AP25+'[4]Simulação Real Aberta'!AP26+'[4]Simulação Real Aberta'!AP27+'[4]Simulação Real Aberta'!AP28+'[4]Simulação Real Aberta'!AP29+'[4]Simulação Real Aberta'!AP30+'[4]Simulação Real Aberta'!AP31+'[4]Simulação Real Aberta'!AP32</f>
        <v>0</v>
      </c>
      <c r="AQ10" s="106">
        <f>'[4]Simulação Real Aberta'!AQ21+'[4]Simulação Real Aberta'!AQ22+'[4]Simulação Real Aberta'!AQ23+'[4]Simulação Real Aberta'!AQ24+'[4]Simulação Real Aberta'!AQ25+'[4]Simulação Real Aberta'!AQ26+'[4]Simulação Real Aberta'!AQ27+'[4]Simulação Real Aberta'!AQ28+'[4]Simulação Real Aberta'!AQ29+'[4]Simulação Real Aberta'!AQ30+'[4]Simulação Real Aberta'!AQ31+'[4]Simulação Real Aberta'!AQ32</f>
        <v>0</v>
      </c>
      <c r="AR10" s="106">
        <f>'[4]Simulação Real Aberta'!AR21+'[4]Simulação Real Aberta'!AR22+'[4]Simulação Real Aberta'!AR23+'[4]Simulação Real Aberta'!AR24+'[4]Simulação Real Aberta'!AR25+'[4]Simulação Real Aberta'!AR26+'[4]Simulação Real Aberta'!AR27+'[4]Simulação Real Aberta'!AR28+'[4]Simulação Real Aberta'!AR29+'[4]Simulação Real Aberta'!AR30+'[4]Simulação Real Aberta'!AR31+'[4]Simulação Real Aberta'!AR32</f>
        <v>0</v>
      </c>
      <c r="AS10" s="106">
        <f>'[4]Simulação Real Aberta'!AS21+'[4]Simulação Real Aberta'!AS22+'[4]Simulação Real Aberta'!AS23+'[4]Simulação Real Aberta'!AS24+'[4]Simulação Real Aberta'!AS25+'[4]Simulação Real Aberta'!AS26+'[4]Simulação Real Aberta'!AS27+'[4]Simulação Real Aberta'!AS28+'[4]Simulação Real Aberta'!AS29+'[4]Simulação Real Aberta'!AS30+'[4]Simulação Real Aberta'!AS31+'[4]Simulação Real Aberta'!AS32</f>
        <v>0</v>
      </c>
      <c r="AT10" s="106">
        <f>'[4]Simulação Real Aberta'!AT21+'[4]Simulação Real Aberta'!AT22+'[4]Simulação Real Aberta'!AT23+'[4]Simulação Real Aberta'!AT24+'[4]Simulação Real Aberta'!AT25+'[4]Simulação Real Aberta'!AT26+'[4]Simulação Real Aberta'!AT27+'[4]Simulação Real Aberta'!AT28+'[4]Simulação Real Aberta'!AT29+'[4]Simulação Real Aberta'!AT30+'[4]Simulação Real Aberta'!AT31+'[4]Simulação Real Aberta'!AT32</f>
        <v>0</v>
      </c>
      <c r="AU10" s="106">
        <f>'[4]Simulação Real Aberta'!AU21+'[4]Simulação Real Aberta'!AU22+'[4]Simulação Real Aberta'!AU23+'[4]Simulação Real Aberta'!AU24+'[4]Simulação Real Aberta'!AU25+'[4]Simulação Real Aberta'!AU26+'[4]Simulação Real Aberta'!AU27+'[4]Simulação Real Aberta'!AU28+'[4]Simulação Real Aberta'!AU29+'[4]Simulação Real Aberta'!AU30+'[4]Simulação Real Aberta'!AU31+'[4]Simulação Real Aberta'!AU32</f>
        <v>0</v>
      </c>
      <c r="AV10" s="106">
        <f>'[4]Simulação Real Aberta'!AV21+'[4]Simulação Real Aberta'!AV22+'[4]Simulação Real Aberta'!AV23+'[4]Simulação Real Aberta'!AV24+'[4]Simulação Real Aberta'!AV25+'[4]Simulação Real Aberta'!AV26+'[4]Simulação Real Aberta'!AV27+'[4]Simulação Real Aberta'!AV28+'[4]Simulação Real Aberta'!AV29+'[4]Simulação Real Aberta'!AV30+'[4]Simulação Real Aberta'!AV31+'[4]Simulação Real Aberta'!AV32</f>
        <v>0</v>
      </c>
      <c r="AW10" s="106">
        <f>'[4]Simulação Real Aberta'!AW21+'[4]Simulação Real Aberta'!AW22+'[4]Simulação Real Aberta'!AW23+'[4]Simulação Real Aberta'!AW24+'[4]Simulação Real Aberta'!AW25+'[4]Simulação Real Aberta'!AW26+'[4]Simulação Real Aberta'!AW27+'[4]Simulação Real Aberta'!AW28+'[4]Simulação Real Aberta'!AW29+'[4]Simulação Real Aberta'!AW30+'[4]Simulação Real Aberta'!AW31+'[4]Simulação Real Aberta'!AW32</f>
        <v>0</v>
      </c>
      <c r="AX10" s="106">
        <f>'[4]Simulação Real Aberta'!AX21+'[4]Simulação Real Aberta'!AX22+'[4]Simulação Real Aberta'!AX23+'[4]Simulação Real Aberta'!AX24+'[4]Simulação Real Aberta'!AX25+'[4]Simulação Real Aberta'!AX26+'[4]Simulação Real Aberta'!AX27+'[4]Simulação Real Aberta'!AX28+'[4]Simulação Real Aberta'!AX29+'[4]Simulação Real Aberta'!AX30+'[4]Simulação Real Aberta'!AX31+'[4]Simulação Real Aberta'!AX32</f>
        <v>0</v>
      </c>
      <c r="AY10" s="106">
        <f>'[4]Simulação Real Aberta'!AY21+'[4]Simulação Real Aberta'!AY22+'[4]Simulação Real Aberta'!AY23+'[4]Simulação Real Aberta'!AY24+'[4]Simulação Real Aberta'!AY25+'[4]Simulação Real Aberta'!AY26+'[4]Simulação Real Aberta'!AY27+'[4]Simulação Real Aberta'!AY28+'[4]Simulação Real Aberta'!AY29+'[4]Simulação Real Aberta'!AY30+'[4]Simulação Real Aberta'!AY31+'[4]Simulação Real Aberta'!AY32</f>
        <v>0</v>
      </c>
      <c r="AZ10" s="106">
        <f>'[4]Simulação Real Aberta'!AZ21+'[4]Simulação Real Aberta'!AZ22+'[4]Simulação Real Aberta'!AZ23+'[4]Simulação Real Aberta'!AZ24+'[4]Simulação Real Aberta'!AZ25+'[4]Simulação Real Aberta'!AZ26+'[4]Simulação Real Aberta'!AZ27+'[4]Simulação Real Aberta'!AZ28+'[4]Simulação Real Aberta'!AZ29+'[4]Simulação Real Aberta'!AZ30+'[4]Simulação Real Aberta'!AZ31+'[4]Simulação Real Aberta'!AZ32</f>
        <v>0</v>
      </c>
      <c r="BA10" s="106">
        <f>'[4]Simulação Real Aberta'!BA21+'[4]Simulação Real Aberta'!BA22+'[4]Simulação Real Aberta'!BA23+'[4]Simulação Real Aberta'!BA24+'[4]Simulação Real Aberta'!BA25+'[4]Simulação Real Aberta'!BA26+'[4]Simulação Real Aberta'!BA27+'[4]Simulação Real Aberta'!BA28+'[4]Simulação Real Aberta'!BA29+'[4]Simulação Real Aberta'!BA30+'[4]Simulação Real Aberta'!BA31+'[4]Simulação Real Aberta'!BA32</f>
        <v>0</v>
      </c>
      <c r="BB10" s="106">
        <f>'[4]Simulação Real Aberta'!BB21+'[4]Simulação Real Aberta'!BB22+'[4]Simulação Real Aberta'!BB23+'[4]Simulação Real Aberta'!BB24+'[4]Simulação Real Aberta'!BB25+'[4]Simulação Real Aberta'!BB26+'[4]Simulação Real Aberta'!BB27+'[4]Simulação Real Aberta'!BB28+'[4]Simulação Real Aberta'!BB29+'[4]Simulação Real Aberta'!BB30+'[4]Simulação Real Aberta'!BB31+'[4]Simulação Real Aberta'!BB32</f>
        <v>0</v>
      </c>
      <c r="BC10" s="106">
        <f>'[4]Simulação Real Aberta'!BC21+'[4]Simulação Real Aberta'!BC22+'[4]Simulação Real Aberta'!BC23+'[4]Simulação Real Aberta'!BC24+'[4]Simulação Real Aberta'!BC25+'[4]Simulação Real Aberta'!BC26+'[4]Simulação Real Aberta'!BC27+'[4]Simulação Real Aberta'!BC28+'[4]Simulação Real Aberta'!BC29+'[4]Simulação Real Aberta'!BC30+'[4]Simulação Real Aberta'!BC31+'[4]Simulação Real Aberta'!BC32</f>
        <v>0</v>
      </c>
      <c r="BD10" s="106">
        <f>'[4]Simulação Real Aberta'!BD21+'[4]Simulação Real Aberta'!BD22+'[4]Simulação Real Aberta'!BD23+'[4]Simulação Real Aberta'!BD24+'[4]Simulação Real Aberta'!BD25+'[4]Simulação Real Aberta'!BD26+'[4]Simulação Real Aberta'!BD27+'[4]Simulação Real Aberta'!BD28+'[4]Simulação Real Aberta'!BD29+'[4]Simulação Real Aberta'!BD30+'[4]Simulação Real Aberta'!BD31+'[4]Simulação Real Aberta'!BD32</f>
        <v>8408329.9199999999</v>
      </c>
      <c r="BE10" s="106">
        <f>'[4]Simulação Real Aberta'!BE21+'[4]Simulação Real Aberta'!BE22+'[4]Simulação Real Aberta'!BE23+'[4]Simulação Real Aberta'!BE24+'[4]Simulação Real Aberta'!BE25+'[4]Simulação Real Aberta'!BE26+'[4]Simulação Real Aberta'!BE27+'[4]Simulação Real Aberta'!BE28+'[4]Simulação Real Aberta'!BE29+'[4]Simulação Real Aberta'!BE30+'[4]Simulação Real Aberta'!BE31+'[4]Simulação Real Aberta'!BE32</f>
        <v>0</v>
      </c>
      <c r="BF10" s="106">
        <f>'[4]Simulação Real Aberta'!BF21+'[4]Simulação Real Aberta'!BF22+'[4]Simulação Real Aberta'!BF23+'[4]Simulação Real Aberta'!BF24+'[4]Simulação Real Aberta'!BF25+'[4]Simulação Real Aberta'!BF26+'[4]Simulação Real Aberta'!BF27+'[4]Simulação Real Aberta'!BF28+'[4]Simulação Real Aberta'!BF29+'[4]Simulação Real Aberta'!BF30+'[4]Simulação Real Aberta'!BF31+'[4]Simulação Real Aberta'!BF32</f>
        <v>8408329.9199999999</v>
      </c>
    </row>
    <row r="11" spans="1:58" x14ac:dyDescent="0.25">
      <c r="A11" s="222" t="s">
        <v>231</v>
      </c>
      <c r="B11" s="105"/>
      <c r="C11" s="105"/>
      <c r="D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</row>
    <row r="12" spans="1:58" ht="27" customHeight="1" x14ac:dyDescent="0.25">
      <c r="A12" s="130" t="s">
        <v>107</v>
      </c>
      <c r="B12" s="103">
        <f>B13+B15+B16+B17</f>
        <v>14418693.609999999</v>
      </c>
      <c r="C12" s="103">
        <f>C13+C15+C16+C17</f>
        <v>22175499.880000003</v>
      </c>
      <c r="D12" s="103">
        <f>B12+C12</f>
        <v>36594193.490000002</v>
      </c>
      <c r="F12" s="131">
        <f>SUM(F13:F17)</f>
        <v>0</v>
      </c>
      <c r="G12" s="131">
        <f t="shared" ref="G12:BF12" si="5">SUM(G13:G17)</f>
        <v>0</v>
      </c>
      <c r="H12" s="131">
        <f t="shared" si="5"/>
        <v>0</v>
      </c>
      <c r="I12" s="131">
        <f t="shared" si="5"/>
        <v>0</v>
      </c>
      <c r="J12" s="131">
        <f t="shared" si="5"/>
        <v>1556106</v>
      </c>
      <c r="K12" s="131">
        <f t="shared" si="5"/>
        <v>0</v>
      </c>
      <c r="L12" s="131">
        <f t="shared" si="5"/>
        <v>2575965.48</v>
      </c>
      <c r="M12" s="131">
        <f t="shared" si="5"/>
        <v>6320642.5700000003</v>
      </c>
      <c r="N12" s="131">
        <f t="shared" si="5"/>
        <v>4132071.48</v>
      </c>
      <c r="O12" s="131">
        <f t="shared" si="5"/>
        <v>9534214.7400000002</v>
      </c>
      <c r="P12" s="131">
        <f t="shared" si="5"/>
        <v>1370738</v>
      </c>
      <c r="Q12" s="131">
        <f t="shared" si="5"/>
        <v>0</v>
      </c>
      <c r="R12" s="131">
        <f t="shared" si="5"/>
        <v>1000000</v>
      </c>
      <c r="S12" s="131">
        <f t="shared" si="5"/>
        <v>0</v>
      </c>
      <c r="T12" s="131">
        <f t="shared" si="5"/>
        <v>0</v>
      </c>
      <c r="U12" s="131">
        <f t="shared" si="5"/>
        <v>0</v>
      </c>
      <c r="V12" s="131">
        <f t="shared" si="5"/>
        <v>6587009.7199999997</v>
      </c>
      <c r="W12" s="131">
        <f t="shared" si="5"/>
        <v>6320642.5700000003</v>
      </c>
      <c r="X12" s="131">
        <f t="shared" si="5"/>
        <v>8957747.7199999988</v>
      </c>
      <c r="Y12" s="131">
        <f t="shared" si="5"/>
        <v>6320642.5700000003</v>
      </c>
      <c r="Z12" s="131">
        <f t="shared" si="5"/>
        <v>0</v>
      </c>
      <c r="AA12" s="131">
        <f t="shared" si="5"/>
        <v>0</v>
      </c>
      <c r="AB12" s="131">
        <f t="shared" si="5"/>
        <v>1328874.4099999999</v>
      </c>
      <c r="AC12" s="131">
        <f t="shared" si="5"/>
        <v>0</v>
      </c>
      <c r="AD12" s="131">
        <f t="shared" si="5"/>
        <v>0</v>
      </c>
      <c r="AE12" s="131">
        <f t="shared" si="5"/>
        <v>0</v>
      </c>
      <c r="AF12" s="131">
        <f t="shared" si="5"/>
        <v>0</v>
      </c>
      <c r="AG12" s="131">
        <f t="shared" si="5"/>
        <v>6320642.5700000003</v>
      </c>
      <c r="AH12" s="131">
        <f t="shared" si="5"/>
        <v>1328874.4099999999</v>
      </c>
      <c r="AI12" s="131">
        <f t="shared" si="5"/>
        <v>6320642.5700000003</v>
      </c>
      <c r="AJ12" s="131">
        <f t="shared" si="5"/>
        <v>0</v>
      </c>
      <c r="AK12" s="131">
        <f t="shared" si="5"/>
        <v>0</v>
      </c>
      <c r="AL12" s="131">
        <f t="shared" si="5"/>
        <v>0</v>
      </c>
      <c r="AM12" s="131">
        <f t="shared" si="5"/>
        <v>0</v>
      </c>
      <c r="AN12" s="131">
        <f t="shared" si="5"/>
        <v>0</v>
      </c>
      <c r="AO12" s="131">
        <f t="shared" si="5"/>
        <v>0</v>
      </c>
      <c r="AP12" s="131">
        <f t="shared" si="5"/>
        <v>0</v>
      </c>
      <c r="AQ12" s="131">
        <f t="shared" si="5"/>
        <v>0</v>
      </c>
      <c r="AR12" s="131">
        <f t="shared" si="5"/>
        <v>0</v>
      </c>
      <c r="AS12" s="131">
        <f t="shared" si="5"/>
        <v>0</v>
      </c>
      <c r="AT12" s="131">
        <f t="shared" si="5"/>
        <v>0</v>
      </c>
      <c r="AU12" s="131">
        <f t="shared" si="5"/>
        <v>0</v>
      </c>
      <c r="AV12" s="131">
        <f t="shared" si="5"/>
        <v>0</v>
      </c>
      <c r="AW12" s="131">
        <f t="shared" si="5"/>
        <v>0</v>
      </c>
      <c r="AX12" s="131">
        <f t="shared" si="5"/>
        <v>0</v>
      </c>
      <c r="AY12" s="131">
        <f t="shared" si="5"/>
        <v>0</v>
      </c>
      <c r="AZ12" s="131">
        <f t="shared" si="5"/>
        <v>0</v>
      </c>
      <c r="BA12" s="131">
        <f t="shared" si="5"/>
        <v>0</v>
      </c>
      <c r="BB12" s="131">
        <f t="shared" si="5"/>
        <v>0</v>
      </c>
      <c r="BC12" s="131">
        <f t="shared" si="5"/>
        <v>0</v>
      </c>
      <c r="BD12" s="131">
        <f t="shared" si="5"/>
        <v>14418693.609999999</v>
      </c>
      <c r="BE12" s="131">
        <f t="shared" si="5"/>
        <v>22175499.880000003</v>
      </c>
      <c r="BF12" s="131">
        <f t="shared" si="5"/>
        <v>36594193.490000002</v>
      </c>
    </row>
    <row r="13" spans="1:58" ht="24" x14ac:dyDescent="0.25">
      <c r="A13" s="203" t="s">
        <v>197</v>
      </c>
      <c r="B13" s="105">
        <v>6081666.9100000001</v>
      </c>
      <c r="C13" s="112">
        <v>19761927.710000001</v>
      </c>
      <c r="D13" s="106">
        <f t="shared" ref="D13:D17" si="6">B13+C13</f>
        <v>25843594.620000001</v>
      </c>
      <c r="F13" s="106">
        <f>'[4]Simulação Real Aberta'!F34+'[4]Simulação Real Aberta'!F35+'[4]Simulação Real Aberta'!F36+'[4]Simulação Real Aberta'!F37</f>
        <v>0</v>
      </c>
      <c r="G13" s="106">
        <f>'[4]Simulação Real Aberta'!G34+'[4]Simulação Real Aberta'!G35+'[4]Simulação Real Aberta'!G36+'[4]Simulação Real Aberta'!G37</f>
        <v>0</v>
      </c>
      <c r="H13" s="106">
        <f>'[4]Simulação Real Aberta'!H34+'[4]Simulação Real Aberta'!H35+'[4]Simulação Real Aberta'!H36+'[4]Simulação Real Aberta'!H37</f>
        <v>0</v>
      </c>
      <c r="I13" s="106">
        <f>'[4]Simulação Real Aberta'!I34+'[4]Simulação Real Aberta'!I35+'[4]Simulação Real Aberta'!I36+'[4]Simulação Real Aberta'!I37</f>
        <v>0</v>
      </c>
      <c r="J13" s="106">
        <f>'[4]Simulação Real Aberta'!J34+'[4]Simulação Real Aberta'!J35+'[4]Simulação Real Aberta'!J36+'[4]Simulação Real Aberta'!J37</f>
        <v>1556106</v>
      </c>
      <c r="K13" s="106">
        <f>'[4]Simulação Real Aberta'!K34+'[4]Simulação Real Aberta'!K35+'[4]Simulação Real Aberta'!K36+'[4]Simulação Real Aberta'!K37</f>
        <v>0</v>
      </c>
      <c r="L13" s="106">
        <f>'[4]Simulação Real Aberta'!L34+'[4]Simulação Real Aberta'!L35+'[4]Simulação Real Aberta'!L36+'[4]Simulação Real Aberta'!L37</f>
        <v>2154822.91</v>
      </c>
      <c r="M13" s="106">
        <f>'[4]Simulação Real Aberta'!M34+'[4]Simulação Real Aberta'!M35+'[4]Simulação Real Aberta'!M36+'[4]Simulação Real Aberta'!M37</f>
        <v>6320642.5700000003</v>
      </c>
      <c r="N13" s="106">
        <f>'[4]Simulação Real Aberta'!N34+'[4]Simulação Real Aberta'!N35+'[4]Simulação Real Aberta'!N36+'[4]Simulação Real Aberta'!N37</f>
        <v>3710928.91</v>
      </c>
      <c r="O13" s="106">
        <f>'[4]Simulação Real Aberta'!O34+'[4]Simulação Real Aberta'!O35+'[4]Simulação Real Aberta'!O36+'[4]Simulação Real Aberta'!O37</f>
        <v>7120642.5700000003</v>
      </c>
      <c r="P13" s="106">
        <f>'[4]Simulação Real Aberta'!P34+'[4]Simulação Real Aberta'!P35+'[4]Simulação Real Aberta'!P36+'[4]Simulação Real Aberta'!P37</f>
        <v>1370738</v>
      </c>
      <c r="Q13" s="106">
        <f>'[4]Simulação Real Aberta'!Q34+'[4]Simulação Real Aberta'!Q35+'[4]Simulação Real Aberta'!Q36+'[4]Simulação Real Aberta'!Q37</f>
        <v>0</v>
      </c>
      <c r="R13" s="106">
        <f>'[4]Simulação Real Aberta'!R34+'[4]Simulação Real Aberta'!R35+'[4]Simulação Real Aberta'!R36+'[4]Simulação Real Aberta'!R37</f>
        <v>1000000</v>
      </c>
      <c r="S13" s="106">
        <f>'[4]Simulação Real Aberta'!S34+'[4]Simulação Real Aberta'!S35+'[4]Simulação Real Aberta'!S36+'[4]Simulação Real Aberta'!S37</f>
        <v>0</v>
      </c>
      <c r="T13" s="106">
        <f>'[4]Simulação Real Aberta'!T34+'[4]Simulação Real Aberta'!T35+'[4]Simulação Real Aberta'!T36+'[4]Simulação Real Aberta'!T37</f>
        <v>0</v>
      </c>
      <c r="U13" s="106">
        <f>'[4]Simulação Real Aberta'!U34+'[4]Simulação Real Aberta'!U35+'[4]Simulação Real Aberta'!U36+'[4]Simulação Real Aberta'!U37</f>
        <v>0</v>
      </c>
      <c r="V13" s="106">
        <f>'[4]Simulação Real Aberta'!V34+'[4]Simulação Real Aberta'!V35+'[4]Simulação Real Aberta'!V36+'[4]Simulação Real Aberta'!V37</f>
        <v>0</v>
      </c>
      <c r="W13" s="106">
        <f>'[4]Simulação Real Aberta'!W34+'[4]Simulação Real Aberta'!W35+'[4]Simulação Real Aberta'!W36+'[4]Simulação Real Aberta'!W37</f>
        <v>6320642.5700000003</v>
      </c>
      <c r="X13" s="106">
        <f>'[4]Simulação Real Aberta'!X34+'[4]Simulação Real Aberta'!X35+'[4]Simulação Real Aberta'!X36+'[4]Simulação Real Aberta'!X37</f>
        <v>2370738</v>
      </c>
      <c r="Y13" s="106">
        <f>'[4]Simulação Real Aberta'!Y34+'[4]Simulação Real Aberta'!Y35+'[4]Simulação Real Aberta'!Y36+'[4]Simulação Real Aberta'!Y37</f>
        <v>6320642.5700000003</v>
      </c>
      <c r="Z13" s="106">
        <f>'[4]Simulação Real Aberta'!Z34+'[4]Simulação Real Aberta'!Z35+'[4]Simulação Real Aberta'!Z36+'[4]Simulação Real Aberta'!Z37</f>
        <v>0</v>
      </c>
      <c r="AA13" s="106">
        <f>'[4]Simulação Real Aberta'!AA34+'[4]Simulação Real Aberta'!AA35+'[4]Simulação Real Aberta'!AA36+'[4]Simulação Real Aberta'!AA37</f>
        <v>0</v>
      </c>
      <c r="AB13" s="106">
        <f>'[4]Simulação Real Aberta'!AB34+'[4]Simulação Real Aberta'!AB35+'[4]Simulação Real Aberta'!AB36+'[4]Simulação Real Aberta'!AB37</f>
        <v>0</v>
      </c>
      <c r="AC13" s="106">
        <f>'[4]Simulação Real Aberta'!AC34+'[4]Simulação Real Aberta'!AC35+'[4]Simulação Real Aberta'!AC36+'[4]Simulação Real Aberta'!AC37</f>
        <v>0</v>
      </c>
      <c r="AD13" s="106">
        <f>'[4]Simulação Real Aberta'!AD34+'[4]Simulação Real Aberta'!AD35+'[4]Simulação Real Aberta'!AD36+'[4]Simulação Real Aberta'!AD37</f>
        <v>0</v>
      </c>
      <c r="AE13" s="106">
        <f>'[4]Simulação Real Aberta'!AE34+'[4]Simulação Real Aberta'!AE35+'[4]Simulação Real Aberta'!AE36+'[4]Simulação Real Aberta'!AE37</f>
        <v>0</v>
      </c>
      <c r="AF13" s="106">
        <f>'[4]Simulação Real Aberta'!AF34+'[4]Simulação Real Aberta'!AF35+'[4]Simulação Real Aberta'!AF36+'[4]Simulação Real Aberta'!AF37</f>
        <v>0</v>
      </c>
      <c r="AG13" s="106">
        <f>'[4]Simulação Real Aberta'!AG34+'[4]Simulação Real Aberta'!AG35+'[4]Simulação Real Aberta'!AG36+'[4]Simulação Real Aberta'!AG37</f>
        <v>6320642.5700000003</v>
      </c>
      <c r="AH13" s="106">
        <f>'[4]Simulação Real Aberta'!AH34+'[4]Simulação Real Aberta'!AH35+'[4]Simulação Real Aberta'!AH36+'[4]Simulação Real Aberta'!AH37</f>
        <v>0</v>
      </c>
      <c r="AI13" s="106">
        <f>'[4]Simulação Real Aberta'!AI34+'[4]Simulação Real Aberta'!AI35+'[4]Simulação Real Aberta'!AI36+'[4]Simulação Real Aberta'!AI37</f>
        <v>6320642.5700000003</v>
      </c>
      <c r="AJ13" s="106">
        <f>'[4]Simulação Real Aberta'!AJ34+'[4]Simulação Real Aberta'!AJ35+'[4]Simulação Real Aberta'!AJ36+'[4]Simulação Real Aberta'!AJ37</f>
        <v>0</v>
      </c>
      <c r="AK13" s="106">
        <f>'[4]Simulação Real Aberta'!AK34+'[4]Simulação Real Aberta'!AK35+'[4]Simulação Real Aberta'!AK36+'[4]Simulação Real Aberta'!AK37</f>
        <v>0</v>
      </c>
      <c r="AL13" s="106">
        <f>'[4]Simulação Real Aberta'!AL34+'[4]Simulação Real Aberta'!AL35+'[4]Simulação Real Aberta'!AL36+'[4]Simulação Real Aberta'!AL37</f>
        <v>0</v>
      </c>
      <c r="AM13" s="106">
        <f>'[4]Simulação Real Aberta'!AM34+'[4]Simulação Real Aberta'!AM35+'[4]Simulação Real Aberta'!AM36+'[4]Simulação Real Aberta'!AM37</f>
        <v>0</v>
      </c>
      <c r="AN13" s="106">
        <f>'[4]Simulação Real Aberta'!AN34+'[4]Simulação Real Aberta'!AN35+'[4]Simulação Real Aberta'!AN36+'[4]Simulação Real Aberta'!AN37</f>
        <v>0</v>
      </c>
      <c r="AO13" s="106">
        <f>'[4]Simulação Real Aberta'!AO34+'[4]Simulação Real Aberta'!AO35+'[4]Simulação Real Aberta'!AO36+'[4]Simulação Real Aberta'!AO37</f>
        <v>0</v>
      </c>
      <c r="AP13" s="106">
        <f>'[4]Simulação Real Aberta'!AP34+'[4]Simulação Real Aberta'!AP35+'[4]Simulação Real Aberta'!AP36+'[4]Simulação Real Aberta'!AP37</f>
        <v>0</v>
      </c>
      <c r="AQ13" s="106">
        <f>'[4]Simulação Real Aberta'!AQ34+'[4]Simulação Real Aberta'!AQ35+'[4]Simulação Real Aberta'!AQ36+'[4]Simulação Real Aberta'!AQ37</f>
        <v>0</v>
      </c>
      <c r="AR13" s="106">
        <f>'[4]Simulação Real Aberta'!AR34+'[4]Simulação Real Aberta'!AR35+'[4]Simulação Real Aberta'!AR36+'[4]Simulação Real Aberta'!AR37</f>
        <v>0</v>
      </c>
      <c r="AS13" s="106">
        <f>'[4]Simulação Real Aberta'!AS34+'[4]Simulação Real Aberta'!AS35+'[4]Simulação Real Aberta'!AS36+'[4]Simulação Real Aberta'!AS37</f>
        <v>0</v>
      </c>
      <c r="AT13" s="106">
        <f>'[4]Simulação Real Aberta'!AT34+'[4]Simulação Real Aberta'!AT35+'[4]Simulação Real Aberta'!AT36+'[4]Simulação Real Aberta'!AT37</f>
        <v>0</v>
      </c>
      <c r="AU13" s="106">
        <f>'[4]Simulação Real Aberta'!AU34+'[4]Simulação Real Aberta'!AU35+'[4]Simulação Real Aberta'!AU36+'[4]Simulação Real Aberta'!AU37</f>
        <v>0</v>
      </c>
      <c r="AV13" s="106">
        <f>'[4]Simulação Real Aberta'!AV34+'[4]Simulação Real Aberta'!AV35+'[4]Simulação Real Aberta'!AV36+'[4]Simulação Real Aberta'!AV37</f>
        <v>0</v>
      </c>
      <c r="AW13" s="106">
        <f>'[4]Simulação Real Aberta'!AW34+'[4]Simulação Real Aberta'!AW35+'[4]Simulação Real Aberta'!AW36+'[4]Simulação Real Aberta'!AW37</f>
        <v>0</v>
      </c>
      <c r="AX13" s="106">
        <f>'[4]Simulação Real Aberta'!AX34+'[4]Simulação Real Aberta'!AX35+'[4]Simulação Real Aberta'!AX36+'[4]Simulação Real Aberta'!AX37</f>
        <v>0</v>
      </c>
      <c r="AY13" s="106">
        <f>'[4]Simulação Real Aberta'!AY34+'[4]Simulação Real Aberta'!AY35+'[4]Simulação Real Aberta'!AY36+'[4]Simulação Real Aberta'!AY37</f>
        <v>0</v>
      </c>
      <c r="AZ13" s="106">
        <f>'[4]Simulação Real Aberta'!AZ34+'[4]Simulação Real Aberta'!AZ35+'[4]Simulação Real Aberta'!AZ36+'[4]Simulação Real Aberta'!AZ37</f>
        <v>0</v>
      </c>
      <c r="BA13" s="106">
        <f>'[4]Simulação Real Aberta'!BA34+'[4]Simulação Real Aberta'!BA35+'[4]Simulação Real Aberta'!BA36+'[4]Simulação Real Aberta'!BA37</f>
        <v>0</v>
      </c>
      <c r="BB13" s="106">
        <f>'[4]Simulação Real Aberta'!BB34+'[4]Simulação Real Aberta'!BB35+'[4]Simulação Real Aberta'!BB36+'[4]Simulação Real Aberta'!BB37</f>
        <v>0</v>
      </c>
      <c r="BC13" s="106">
        <f>'[4]Simulação Real Aberta'!BC34+'[4]Simulação Real Aberta'!BC35+'[4]Simulação Real Aberta'!BC36+'[4]Simulação Real Aberta'!BC37</f>
        <v>0</v>
      </c>
      <c r="BD13" s="106">
        <f>'[4]Simulação Real Aberta'!BD34+'[4]Simulação Real Aberta'!BD35+'[4]Simulação Real Aberta'!BD36+'[4]Simulação Real Aberta'!BD37</f>
        <v>6081666.9100000001</v>
      </c>
      <c r="BE13" s="106">
        <f>'[4]Simulação Real Aberta'!BE34+'[4]Simulação Real Aberta'!BE35+'[4]Simulação Real Aberta'!BE36+'[4]Simulação Real Aberta'!BE37</f>
        <v>19761927.710000001</v>
      </c>
      <c r="BF13" s="106">
        <f>'[4]Simulação Real Aberta'!BF34+'[4]Simulação Real Aberta'!BF35+'[4]Simulação Real Aberta'!BF36+'[4]Simulação Real Aberta'!BF37</f>
        <v>25843594.620000001</v>
      </c>
    </row>
    <row r="14" spans="1:58" ht="24" x14ac:dyDescent="0.25">
      <c r="A14" s="222" t="s">
        <v>223</v>
      </c>
      <c r="B14" s="105"/>
      <c r="C14" s="112"/>
      <c r="D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</row>
    <row r="15" spans="1:58" ht="24" x14ac:dyDescent="0.25">
      <c r="A15" s="115" t="s">
        <v>198</v>
      </c>
      <c r="B15" s="105">
        <v>1310507.82</v>
      </c>
      <c r="C15" s="105">
        <f>'[4]Simulação Real Aberta'!C41</f>
        <v>413572.17</v>
      </c>
      <c r="D15" s="106">
        <f t="shared" si="6"/>
        <v>1724079.99</v>
      </c>
      <c r="F15" s="106">
        <f>'[4]Simulação Real Aberta'!F38+'[4]Simulação Real Aberta'!F39+'[4]Simulação Real Aberta'!F41</f>
        <v>0</v>
      </c>
      <c r="G15" s="106">
        <f>'[4]Simulação Real Aberta'!G38+'[4]Simulação Real Aberta'!G39+'[4]Simulação Real Aberta'!G41</f>
        <v>0</v>
      </c>
      <c r="H15" s="106">
        <f>'[4]Simulação Real Aberta'!H38+'[4]Simulação Real Aberta'!H39+'[4]Simulação Real Aberta'!H41</f>
        <v>0</v>
      </c>
      <c r="I15" s="106">
        <f>'[4]Simulação Real Aberta'!I38+'[4]Simulação Real Aberta'!I39+'[4]Simulação Real Aberta'!I41</f>
        <v>0</v>
      </c>
      <c r="J15" s="106">
        <f>'[4]Simulação Real Aberta'!J38+'[4]Simulação Real Aberta'!J39+'[4]Simulação Real Aberta'!J41</f>
        <v>0</v>
      </c>
      <c r="K15" s="106">
        <f>'[4]Simulação Real Aberta'!K38+'[4]Simulação Real Aberta'!K39+'[4]Simulação Real Aberta'!K41</f>
        <v>0</v>
      </c>
      <c r="L15" s="106">
        <f>'[4]Simulação Real Aberta'!L38+'[4]Simulação Real Aberta'!L39+'[4]Simulação Real Aberta'!L41</f>
        <v>421142.57</v>
      </c>
      <c r="M15" s="106">
        <f>'[4]Simulação Real Aberta'!M38+'[4]Simulação Real Aberta'!M39+'[4]Simulação Real Aberta'!M41</f>
        <v>0</v>
      </c>
      <c r="N15" s="106">
        <f>'[4]Simulação Real Aberta'!N38+'[4]Simulação Real Aberta'!N39+'[4]Simulação Real Aberta'!N41</f>
        <v>421142.57</v>
      </c>
      <c r="O15" s="106">
        <f>'[4]Simulação Real Aberta'!O38+'[4]Simulação Real Aberta'!O39+'[4]Simulação Real Aberta'!O41</f>
        <v>413572.17</v>
      </c>
      <c r="P15" s="106">
        <f>'[4]Simulação Real Aberta'!P38+'[4]Simulação Real Aberta'!P39+'[4]Simulação Real Aberta'!P41</f>
        <v>0</v>
      </c>
      <c r="Q15" s="106">
        <f>'[4]Simulação Real Aberta'!Q38+'[4]Simulação Real Aberta'!Q39+'[4]Simulação Real Aberta'!Q41</f>
        <v>0</v>
      </c>
      <c r="R15" s="106">
        <f>'[4]Simulação Real Aberta'!R38+'[4]Simulação Real Aberta'!R39+'[4]Simulação Real Aberta'!R41</f>
        <v>0</v>
      </c>
      <c r="S15" s="106">
        <f>'[4]Simulação Real Aberta'!S38+'[4]Simulação Real Aberta'!S39+'[4]Simulação Real Aberta'!S41</f>
        <v>0</v>
      </c>
      <c r="T15" s="106">
        <f>'[4]Simulação Real Aberta'!T38+'[4]Simulação Real Aberta'!T39+'[4]Simulação Real Aberta'!T41</f>
        <v>0</v>
      </c>
      <c r="U15" s="106">
        <f>'[4]Simulação Real Aberta'!U38+'[4]Simulação Real Aberta'!U39+'[4]Simulação Real Aberta'!U41</f>
        <v>0</v>
      </c>
      <c r="V15" s="106">
        <f>'[4]Simulação Real Aberta'!V38+'[4]Simulação Real Aberta'!V39+'[4]Simulação Real Aberta'!V41</f>
        <v>889365.25</v>
      </c>
      <c r="W15" s="106">
        <f>'[4]Simulação Real Aberta'!W38+'[4]Simulação Real Aberta'!W39+'[4]Simulação Real Aberta'!W41</f>
        <v>0</v>
      </c>
      <c r="X15" s="106">
        <f>'[4]Simulação Real Aberta'!X38+'[4]Simulação Real Aberta'!X39+'[4]Simulação Real Aberta'!X41</f>
        <v>889365.25</v>
      </c>
      <c r="Y15" s="106">
        <f>'[4]Simulação Real Aberta'!Y38+'[4]Simulação Real Aberta'!Y39+'[4]Simulação Real Aberta'!Y41</f>
        <v>0</v>
      </c>
      <c r="Z15" s="106">
        <f>'[4]Simulação Real Aberta'!Z38+'[4]Simulação Real Aberta'!Z39+'[4]Simulação Real Aberta'!Z41</f>
        <v>0</v>
      </c>
      <c r="AA15" s="106">
        <f>'[4]Simulação Real Aberta'!AA38+'[4]Simulação Real Aberta'!AA39+'[4]Simulação Real Aberta'!AA41</f>
        <v>0</v>
      </c>
      <c r="AB15" s="106">
        <f>'[4]Simulação Real Aberta'!AB38+'[4]Simulação Real Aberta'!AB39+'[4]Simulação Real Aberta'!AB41</f>
        <v>0</v>
      </c>
      <c r="AC15" s="106">
        <f>'[4]Simulação Real Aberta'!AC38+'[4]Simulação Real Aberta'!AC39+'[4]Simulação Real Aberta'!AC41</f>
        <v>0</v>
      </c>
      <c r="AD15" s="106">
        <f>'[4]Simulação Real Aberta'!AD38+'[4]Simulação Real Aberta'!AD39+'[4]Simulação Real Aberta'!AD41</f>
        <v>0</v>
      </c>
      <c r="AE15" s="106">
        <f>'[4]Simulação Real Aberta'!AE38+'[4]Simulação Real Aberta'!AE39+'[4]Simulação Real Aberta'!AE41</f>
        <v>0</v>
      </c>
      <c r="AF15" s="106">
        <f>'[4]Simulação Real Aberta'!AF38+'[4]Simulação Real Aberta'!AF39+'[4]Simulação Real Aberta'!AF41</f>
        <v>0</v>
      </c>
      <c r="AG15" s="106">
        <f>'[4]Simulação Real Aberta'!AG38+'[4]Simulação Real Aberta'!AG39+'[4]Simulação Real Aberta'!AG41</f>
        <v>0</v>
      </c>
      <c r="AH15" s="106">
        <f>'[4]Simulação Real Aberta'!AH38+'[4]Simulação Real Aberta'!AH39+'[4]Simulação Real Aberta'!AH41</f>
        <v>0</v>
      </c>
      <c r="AI15" s="106">
        <f>'[4]Simulação Real Aberta'!AI38+'[4]Simulação Real Aberta'!AI39+'[4]Simulação Real Aberta'!AI41</f>
        <v>0</v>
      </c>
      <c r="AJ15" s="106">
        <f>'[4]Simulação Real Aberta'!AJ38+'[4]Simulação Real Aberta'!AJ39+'[4]Simulação Real Aberta'!AJ41</f>
        <v>0</v>
      </c>
      <c r="AK15" s="106">
        <f>'[4]Simulação Real Aberta'!AK38+'[4]Simulação Real Aberta'!AK39+'[4]Simulação Real Aberta'!AK41</f>
        <v>0</v>
      </c>
      <c r="AL15" s="106">
        <f>'[4]Simulação Real Aberta'!AL38+'[4]Simulação Real Aberta'!AL39+'[4]Simulação Real Aberta'!AL41</f>
        <v>0</v>
      </c>
      <c r="AM15" s="106">
        <f>'[4]Simulação Real Aberta'!AM38+'[4]Simulação Real Aberta'!AM39+'[4]Simulação Real Aberta'!AM41</f>
        <v>0</v>
      </c>
      <c r="AN15" s="106">
        <f>'[4]Simulação Real Aberta'!AN38+'[4]Simulação Real Aberta'!AN39+'[4]Simulação Real Aberta'!AN41</f>
        <v>0</v>
      </c>
      <c r="AO15" s="106">
        <f>'[4]Simulação Real Aberta'!AO38+'[4]Simulação Real Aberta'!AO39+'[4]Simulação Real Aberta'!AO41</f>
        <v>0</v>
      </c>
      <c r="AP15" s="106">
        <f>'[4]Simulação Real Aberta'!AP38+'[4]Simulação Real Aberta'!AP39+'[4]Simulação Real Aberta'!AP41</f>
        <v>0</v>
      </c>
      <c r="AQ15" s="106">
        <f>'[4]Simulação Real Aberta'!AQ38+'[4]Simulação Real Aberta'!AQ39+'[4]Simulação Real Aberta'!AQ41</f>
        <v>0</v>
      </c>
      <c r="AR15" s="106">
        <f>'[4]Simulação Real Aberta'!AR38+'[4]Simulação Real Aberta'!AR39+'[4]Simulação Real Aberta'!AR41</f>
        <v>0</v>
      </c>
      <c r="AS15" s="106">
        <f>'[4]Simulação Real Aberta'!AS38+'[4]Simulação Real Aberta'!AS39+'[4]Simulação Real Aberta'!AS41</f>
        <v>0</v>
      </c>
      <c r="AT15" s="106">
        <f>'[4]Simulação Real Aberta'!AT38+'[4]Simulação Real Aberta'!AT39+'[4]Simulação Real Aberta'!AT41</f>
        <v>0</v>
      </c>
      <c r="AU15" s="106">
        <f>'[4]Simulação Real Aberta'!AU38+'[4]Simulação Real Aberta'!AU39+'[4]Simulação Real Aberta'!AU41</f>
        <v>0</v>
      </c>
      <c r="AV15" s="106">
        <f>'[4]Simulação Real Aberta'!AV38+'[4]Simulação Real Aberta'!AV39+'[4]Simulação Real Aberta'!AV41</f>
        <v>0</v>
      </c>
      <c r="AW15" s="106">
        <f>'[4]Simulação Real Aberta'!AW38+'[4]Simulação Real Aberta'!AW39+'[4]Simulação Real Aberta'!AW41</f>
        <v>0</v>
      </c>
      <c r="AX15" s="106">
        <f>'[4]Simulação Real Aberta'!AX38+'[4]Simulação Real Aberta'!AX39+'[4]Simulação Real Aberta'!AX41</f>
        <v>0</v>
      </c>
      <c r="AY15" s="106">
        <f>'[4]Simulação Real Aberta'!AY38+'[4]Simulação Real Aberta'!AY39+'[4]Simulação Real Aberta'!AY41</f>
        <v>0</v>
      </c>
      <c r="AZ15" s="106">
        <f>'[4]Simulação Real Aberta'!AZ38+'[4]Simulação Real Aberta'!AZ39+'[4]Simulação Real Aberta'!AZ41</f>
        <v>0</v>
      </c>
      <c r="BA15" s="106">
        <f>'[4]Simulação Real Aberta'!BA38+'[4]Simulação Real Aberta'!BA39+'[4]Simulação Real Aberta'!BA41</f>
        <v>0</v>
      </c>
      <c r="BB15" s="106">
        <f>'[4]Simulação Real Aberta'!BB38+'[4]Simulação Real Aberta'!BB39+'[4]Simulação Real Aberta'!BB41</f>
        <v>0</v>
      </c>
      <c r="BC15" s="106">
        <f>'[4]Simulação Real Aberta'!BC38+'[4]Simulação Real Aberta'!BC39+'[4]Simulação Real Aberta'!BC41</f>
        <v>0</v>
      </c>
      <c r="BD15" s="106">
        <f>'[4]Simulação Real Aberta'!BD38+'[4]Simulação Real Aberta'!BD39+'[4]Simulação Real Aberta'!BD41</f>
        <v>1310507.82</v>
      </c>
      <c r="BE15" s="106">
        <f>'[4]Simulação Real Aberta'!BE38+'[4]Simulação Real Aberta'!BE39+'[4]Simulação Real Aberta'!BE41</f>
        <v>413572.17</v>
      </c>
      <c r="BF15" s="106">
        <f>'[4]Simulação Real Aberta'!BF38+'[4]Simulação Real Aberta'!BF39+'[4]Simulação Real Aberta'!BF41</f>
        <v>1724079.99</v>
      </c>
    </row>
    <row r="16" spans="1:58" ht="24" x14ac:dyDescent="0.25">
      <c r="A16" s="115" t="s">
        <v>199</v>
      </c>
      <c r="B16" s="105">
        <v>1328874.4099999999</v>
      </c>
      <c r="C16" s="105">
        <v>0</v>
      </c>
      <c r="D16" s="106">
        <f t="shared" si="6"/>
        <v>1328874.4099999999</v>
      </c>
      <c r="F16" s="106">
        <f>'[4]Simulação Real Aberta'!F40</f>
        <v>0</v>
      </c>
      <c r="G16" s="106">
        <f>'[4]Simulação Real Aberta'!G40</f>
        <v>0</v>
      </c>
      <c r="H16" s="106">
        <f>'[4]Simulação Real Aberta'!H40</f>
        <v>0</v>
      </c>
      <c r="I16" s="106">
        <f>'[4]Simulação Real Aberta'!I40</f>
        <v>0</v>
      </c>
      <c r="J16" s="106">
        <f>'[4]Simulação Real Aberta'!J40</f>
        <v>0</v>
      </c>
      <c r="K16" s="106">
        <f>'[4]Simulação Real Aberta'!K40</f>
        <v>0</v>
      </c>
      <c r="L16" s="106">
        <f>'[4]Simulação Real Aberta'!L40</f>
        <v>0</v>
      </c>
      <c r="M16" s="106">
        <f>'[4]Simulação Real Aberta'!M40</f>
        <v>0</v>
      </c>
      <c r="N16" s="106">
        <f>'[4]Simulação Real Aberta'!N40</f>
        <v>0</v>
      </c>
      <c r="O16" s="106">
        <f>'[4]Simulação Real Aberta'!O40</f>
        <v>0</v>
      </c>
      <c r="P16" s="106">
        <f>'[4]Simulação Real Aberta'!P40</f>
        <v>0</v>
      </c>
      <c r="Q16" s="106">
        <f>'[4]Simulação Real Aberta'!Q40</f>
        <v>0</v>
      </c>
      <c r="R16" s="106">
        <f>'[4]Simulação Real Aberta'!R40</f>
        <v>0</v>
      </c>
      <c r="S16" s="106">
        <f>'[4]Simulação Real Aberta'!S40</f>
        <v>0</v>
      </c>
      <c r="T16" s="106">
        <f>'[4]Simulação Real Aberta'!T40</f>
        <v>0</v>
      </c>
      <c r="U16" s="106">
        <f>'[4]Simulação Real Aberta'!U40</f>
        <v>0</v>
      </c>
      <c r="V16" s="106">
        <f>'[4]Simulação Real Aberta'!V40</f>
        <v>0</v>
      </c>
      <c r="W16" s="106">
        <f>'[4]Simulação Real Aberta'!W40</f>
        <v>0</v>
      </c>
      <c r="X16" s="106">
        <f>'[4]Simulação Real Aberta'!X40</f>
        <v>0</v>
      </c>
      <c r="Y16" s="106">
        <f>'[4]Simulação Real Aberta'!Y40</f>
        <v>0</v>
      </c>
      <c r="Z16" s="106">
        <f>'[4]Simulação Real Aberta'!Z40</f>
        <v>0</v>
      </c>
      <c r="AA16" s="106">
        <f>'[4]Simulação Real Aberta'!AA40</f>
        <v>0</v>
      </c>
      <c r="AB16" s="106">
        <f>'[4]Simulação Real Aberta'!AB40</f>
        <v>1328874.4099999999</v>
      </c>
      <c r="AC16" s="106">
        <f>'[4]Simulação Real Aberta'!AC40</f>
        <v>0</v>
      </c>
      <c r="AD16" s="106">
        <f>'[4]Simulação Real Aberta'!AD40</f>
        <v>0</v>
      </c>
      <c r="AE16" s="106">
        <f>'[4]Simulação Real Aberta'!AE40</f>
        <v>0</v>
      </c>
      <c r="AF16" s="106">
        <f>'[4]Simulação Real Aberta'!AF40</f>
        <v>0</v>
      </c>
      <c r="AG16" s="106">
        <f>'[4]Simulação Real Aberta'!AG40</f>
        <v>0</v>
      </c>
      <c r="AH16" s="106">
        <f>'[4]Simulação Real Aberta'!AH40</f>
        <v>1328874.4099999999</v>
      </c>
      <c r="AI16" s="106">
        <f>'[4]Simulação Real Aberta'!AI40</f>
        <v>0</v>
      </c>
      <c r="AJ16" s="106">
        <f>'[4]Simulação Real Aberta'!AJ40</f>
        <v>0</v>
      </c>
      <c r="AK16" s="106">
        <f>'[4]Simulação Real Aberta'!AK40</f>
        <v>0</v>
      </c>
      <c r="AL16" s="106">
        <f>'[4]Simulação Real Aberta'!AL40</f>
        <v>0</v>
      </c>
      <c r="AM16" s="106">
        <f>'[4]Simulação Real Aberta'!AM40</f>
        <v>0</v>
      </c>
      <c r="AN16" s="106">
        <f>'[4]Simulação Real Aberta'!AN40</f>
        <v>0</v>
      </c>
      <c r="AO16" s="106">
        <f>'[4]Simulação Real Aberta'!AO40</f>
        <v>0</v>
      </c>
      <c r="AP16" s="106">
        <f>'[4]Simulação Real Aberta'!AP40</f>
        <v>0</v>
      </c>
      <c r="AQ16" s="106">
        <f>'[4]Simulação Real Aberta'!AQ40</f>
        <v>0</v>
      </c>
      <c r="AR16" s="106">
        <f>'[4]Simulação Real Aberta'!AR40</f>
        <v>0</v>
      </c>
      <c r="AS16" s="106">
        <f>'[4]Simulação Real Aberta'!AS40</f>
        <v>0</v>
      </c>
      <c r="AT16" s="106">
        <f>'[4]Simulação Real Aberta'!AT40</f>
        <v>0</v>
      </c>
      <c r="AU16" s="106">
        <f>'[4]Simulação Real Aberta'!AU40</f>
        <v>0</v>
      </c>
      <c r="AV16" s="106">
        <f>'[4]Simulação Real Aberta'!AV40</f>
        <v>0</v>
      </c>
      <c r="AW16" s="106">
        <f>'[4]Simulação Real Aberta'!AW40</f>
        <v>0</v>
      </c>
      <c r="AX16" s="106">
        <f>'[4]Simulação Real Aberta'!AX40</f>
        <v>0</v>
      </c>
      <c r="AY16" s="106">
        <f>'[4]Simulação Real Aberta'!AY40</f>
        <v>0</v>
      </c>
      <c r="AZ16" s="106">
        <f>'[4]Simulação Real Aberta'!AZ40</f>
        <v>0</v>
      </c>
      <c r="BA16" s="106">
        <f>'[4]Simulação Real Aberta'!BA40</f>
        <v>0</v>
      </c>
      <c r="BB16" s="106">
        <f>'[4]Simulação Real Aberta'!BB40</f>
        <v>0</v>
      </c>
      <c r="BC16" s="106">
        <f>'[4]Simulação Real Aberta'!BC40</f>
        <v>0</v>
      </c>
      <c r="BD16" s="106">
        <f>'[4]Simulação Real Aberta'!BD40</f>
        <v>1328874.4099999999</v>
      </c>
      <c r="BE16" s="106">
        <f>'[4]Simulação Real Aberta'!BE40</f>
        <v>0</v>
      </c>
      <c r="BF16" s="106">
        <f>'[4]Simulação Real Aberta'!BF40</f>
        <v>1328874.4099999999</v>
      </c>
    </row>
    <row r="17" spans="1:58" ht="24" x14ac:dyDescent="0.25">
      <c r="A17" s="203" t="s">
        <v>200</v>
      </c>
      <c r="B17" s="119">
        <v>5697644.4699999997</v>
      </c>
      <c r="C17" s="114">
        <v>2000000</v>
      </c>
      <c r="D17" s="106">
        <f t="shared" si="6"/>
        <v>7697644.4699999997</v>
      </c>
      <c r="F17" s="106">
        <f>'[4]Simulação Real Aberta'!F42+'[4]Simulação Real Aberta'!F43</f>
        <v>0</v>
      </c>
      <c r="G17" s="106">
        <f>'[4]Simulação Real Aberta'!G42+'[4]Simulação Real Aberta'!G43</f>
        <v>0</v>
      </c>
      <c r="H17" s="106">
        <f>'[4]Simulação Real Aberta'!H42+'[4]Simulação Real Aberta'!H43</f>
        <v>0</v>
      </c>
      <c r="I17" s="106">
        <f>'[4]Simulação Real Aberta'!I42+'[4]Simulação Real Aberta'!I43</f>
        <v>0</v>
      </c>
      <c r="J17" s="106">
        <f>'[4]Simulação Real Aberta'!J42+'[4]Simulação Real Aberta'!J43</f>
        <v>0</v>
      </c>
      <c r="K17" s="106">
        <f>'[4]Simulação Real Aberta'!K42+'[4]Simulação Real Aberta'!K43</f>
        <v>0</v>
      </c>
      <c r="L17" s="106">
        <f>'[4]Simulação Real Aberta'!L42+'[4]Simulação Real Aberta'!L43</f>
        <v>0</v>
      </c>
      <c r="M17" s="106">
        <f>'[4]Simulação Real Aberta'!M42+'[4]Simulação Real Aberta'!M43</f>
        <v>0</v>
      </c>
      <c r="N17" s="106">
        <f>'[4]Simulação Real Aberta'!N42+'[4]Simulação Real Aberta'!N43</f>
        <v>0</v>
      </c>
      <c r="O17" s="106">
        <f>'[4]Simulação Real Aberta'!O42+'[4]Simulação Real Aberta'!O43</f>
        <v>2000000</v>
      </c>
      <c r="P17" s="106">
        <f>'[4]Simulação Real Aberta'!P42+'[4]Simulação Real Aberta'!P43</f>
        <v>0</v>
      </c>
      <c r="Q17" s="106">
        <f>'[4]Simulação Real Aberta'!Q42+'[4]Simulação Real Aberta'!Q43</f>
        <v>0</v>
      </c>
      <c r="R17" s="106">
        <f>'[4]Simulação Real Aberta'!R42+'[4]Simulação Real Aberta'!R43</f>
        <v>0</v>
      </c>
      <c r="S17" s="106">
        <f>'[4]Simulação Real Aberta'!S42+'[4]Simulação Real Aberta'!S43</f>
        <v>0</v>
      </c>
      <c r="T17" s="106">
        <f>'[4]Simulação Real Aberta'!T42+'[4]Simulação Real Aberta'!T43</f>
        <v>0</v>
      </c>
      <c r="U17" s="106">
        <f>'[4]Simulação Real Aberta'!U42+'[4]Simulação Real Aberta'!U43</f>
        <v>0</v>
      </c>
      <c r="V17" s="106">
        <f>'[4]Simulação Real Aberta'!V42+'[4]Simulação Real Aberta'!V43</f>
        <v>5697644.4699999997</v>
      </c>
      <c r="W17" s="106">
        <f>'[4]Simulação Real Aberta'!W42+'[4]Simulação Real Aberta'!W43</f>
        <v>0</v>
      </c>
      <c r="X17" s="106">
        <f>'[4]Simulação Real Aberta'!X42+'[4]Simulação Real Aberta'!X43</f>
        <v>5697644.4699999997</v>
      </c>
      <c r="Y17" s="106">
        <f>'[4]Simulação Real Aberta'!Y42+'[4]Simulação Real Aberta'!Y43</f>
        <v>0</v>
      </c>
      <c r="Z17" s="106">
        <f>'[4]Simulação Real Aberta'!Z42+'[4]Simulação Real Aberta'!Z43</f>
        <v>0</v>
      </c>
      <c r="AA17" s="106">
        <f>'[4]Simulação Real Aberta'!AA42+'[4]Simulação Real Aberta'!AA43</f>
        <v>0</v>
      </c>
      <c r="AB17" s="106">
        <f>'[4]Simulação Real Aberta'!AB42+'[4]Simulação Real Aberta'!AB43</f>
        <v>0</v>
      </c>
      <c r="AC17" s="106">
        <f>'[4]Simulação Real Aberta'!AC42+'[4]Simulação Real Aberta'!AC43</f>
        <v>0</v>
      </c>
      <c r="AD17" s="106">
        <f>'[4]Simulação Real Aberta'!AD42+'[4]Simulação Real Aberta'!AD43</f>
        <v>0</v>
      </c>
      <c r="AE17" s="106">
        <f>'[4]Simulação Real Aberta'!AE42+'[4]Simulação Real Aberta'!AE43</f>
        <v>0</v>
      </c>
      <c r="AF17" s="106">
        <f>'[4]Simulação Real Aberta'!AF42+'[4]Simulação Real Aberta'!AF43</f>
        <v>0</v>
      </c>
      <c r="AG17" s="106">
        <f>'[4]Simulação Real Aberta'!AG42+'[4]Simulação Real Aberta'!AG43</f>
        <v>0</v>
      </c>
      <c r="AH17" s="106">
        <f>'[4]Simulação Real Aberta'!AH42+'[4]Simulação Real Aberta'!AH43</f>
        <v>0</v>
      </c>
      <c r="AI17" s="106">
        <f>'[4]Simulação Real Aberta'!AI42+'[4]Simulação Real Aberta'!AI43</f>
        <v>0</v>
      </c>
      <c r="AJ17" s="106">
        <f>'[4]Simulação Real Aberta'!AJ42+'[4]Simulação Real Aberta'!AJ43</f>
        <v>0</v>
      </c>
      <c r="AK17" s="106">
        <f>'[4]Simulação Real Aberta'!AK42+'[4]Simulação Real Aberta'!AK43</f>
        <v>0</v>
      </c>
      <c r="AL17" s="106">
        <f>'[4]Simulação Real Aberta'!AL42+'[4]Simulação Real Aberta'!AL43</f>
        <v>0</v>
      </c>
      <c r="AM17" s="106">
        <f>'[4]Simulação Real Aberta'!AM42+'[4]Simulação Real Aberta'!AM43</f>
        <v>0</v>
      </c>
      <c r="AN17" s="106">
        <f>'[4]Simulação Real Aberta'!AN42+'[4]Simulação Real Aberta'!AN43</f>
        <v>0</v>
      </c>
      <c r="AO17" s="106">
        <f>'[4]Simulação Real Aberta'!AO42+'[4]Simulação Real Aberta'!AO43</f>
        <v>0</v>
      </c>
      <c r="AP17" s="106">
        <f>'[4]Simulação Real Aberta'!AP42+'[4]Simulação Real Aberta'!AP43</f>
        <v>0</v>
      </c>
      <c r="AQ17" s="106">
        <f>'[4]Simulação Real Aberta'!AQ42+'[4]Simulação Real Aberta'!AQ43</f>
        <v>0</v>
      </c>
      <c r="AR17" s="106">
        <f>'[4]Simulação Real Aberta'!AR42+'[4]Simulação Real Aberta'!AR43</f>
        <v>0</v>
      </c>
      <c r="AS17" s="106">
        <f>'[4]Simulação Real Aberta'!AS42+'[4]Simulação Real Aberta'!AS43</f>
        <v>0</v>
      </c>
      <c r="AT17" s="106">
        <f>'[4]Simulação Real Aberta'!AT42+'[4]Simulação Real Aberta'!AT43</f>
        <v>0</v>
      </c>
      <c r="AU17" s="106">
        <f>'[4]Simulação Real Aberta'!AU42+'[4]Simulação Real Aberta'!AU43</f>
        <v>0</v>
      </c>
      <c r="AV17" s="106">
        <f>'[4]Simulação Real Aberta'!AV42+'[4]Simulação Real Aberta'!AV43</f>
        <v>0</v>
      </c>
      <c r="AW17" s="106">
        <f>'[4]Simulação Real Aberta'!AW42+'[4]Simulação Real Aberta'!AW43</f>
        <v>0</v>
      </c>
      <c r="AX17" s="106">
        <f>'[4]Simulação Real Aberta'!AX42+'[4]Simulação Real Aberta'!AX43</f>
        <v>0</v>
      </c>
      <c r="AY17" s="106">
        <f>'[4]Simulação Real Aberta'!AY42+'[4]Simulação Real Aberta'!AY43</f>
        <v>0</v>
      </c>
      <c r="AZ17" s="106">
        <f>'[4]Simulação Real Aberta'!AZ42+'[4]Simulação Real Aberta'!AZ43</f>
        <v>0</v>
      </c>
      <c r="BA17" s="106">
        <f>'[4]Simulação Real Aberta'!BA42+'[4]Simulação Real Aberta'!BA43</f>
        <v>0</v>
      </c>
      <c r="BB17" s="106">
        <f>'[4]Simulação Real Aberta'!BB42+'[4]Simulação Real Aberta'!BB43</f>
        <v>0</v>
      </c>
      <c r="BC17" s="106">
        <f>'[4]Simulação Real Aberta'!BC42+'[4]Simulação Real Aberta'!BC43</f>
        <v>0</v>
      </c>
      <c r="BD17" s="106">
        <f>'[4]Simulação Real Aberta'!BD42+'[4]Simulação Real Aberta'!BD43</f>
        <v>5697644.4699999997</v>
      </c>
      <c r="BE17" s="106">
        <f>'[4]Simulação Real Aberta'!BE42+'[4]Simulação Real Aberta'!BE43</f>
        <v>2000000</v>
      </c>
      <c r="BF17" s="106">
        <f>'[4]Simulação Real Aberta'!BF42+'[4]Simulação Real Aberta'!BF43</f>
        <v>7697644.4699999997</v>
      </c>
    </row>
    <row r="18" spans="1:58" ht="24" x14ac:dyDescent="0.25">
      <c r="A18" s="220" t="s">
        <v>218</v>
      </c>
      <c r="B18" s="119"/>
      <c r="C18" s="114"/>
      <c r="D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</row>
    <row r="19" spans="1:58" ht="24" x14ac:dyDescent="0.25">
      <c r="A19" s="144" t="s">
        <v>118</v>
      </c>
      <c r="B19" s="103">
        <f>B20+B21+B23+B24+B25+B26+B27</f>
        <v>45065449.569999993</v>
      </c>
      <c r="C19" s="103">
        <f>C20+C21+C23+C24+C25+C26+C27</f>
        <v>155556310.852</v>
      </c>
      <c r="D19" s="103">
        <f>B19+C19</f>
        <v>200621760.42199999</v>
      </c>
      <c r="F19" s="131">
        <f t="shared" ref="F19:AK19" si="7">SUM(F20:F27)</f>
        <v>0</v>
      </c>
      <c r="G19" s="131">
        <f t="shared" si="7"/>
        <v>9397208.0999999996</v>
      </c>
      <c r="H19" s="131">
        <f t="shared" si="7"/>
        <v>0</v>
      </c>
      <c r="I19" s="131">
        <f t="shared" si="7"/>
        <v>917799.98499999999</v>
      </c>
      <c r="J19" s="131">
        <f t="shared" si="7"/>
        <v>0</v>
      </c>
      <c r="K19" s="131">
        <f t="shared" si="7"/>
        <v>0</v>
      </c>
      <c r="L19" s="131">
        <f t="shared" si="7"/>
        <v>0</v>
      </c>
      <c r="M19" s="131">
        <f t="shared" si="7"/>
        <v>0</v>
      </c>
      <c r="N19" s="131">
        <f t="shared" si="7"/>
        <v>36724242</v>
      </c>
      <c r="O19" s="131">
        <f t="shared" si="7"/>
        <v>34651407.572000004</v>
      </c>
      <c r="P19" s="131">
        <f t="shared" si="7"/>
        <v>0</v>
      </c>
      <c r="Q19" s="131">
        <f t="shared" si="7"/>
        <v>0</v>
      </c>
      <c r="R19" s="131">
        <f t="shared" si="7"/>
        <v>696455.08333333326</v>
      </c>
      <c r="S19" s="131">
        <f t="shared" si="7"/>
        <v>0</v>
      </c>
      <c r="T19" s="131">
        <f t="shared" si="7"/>
        <v>1473180.8973333333</v>
      </c>
      <c r="U19" s="131">
        <f t="shared" si="7"/>
        <v>0</v>
      </c>
      <c r="V19" s="131">
        <f t="shared" si="7"/>
        <v>1831927.1193333333</v>
      </c>
      <c r="W19" s="131">
        <f t="shared" si="7"/>
        <v>0</v>
      </c>
      <c r="X19" s="131">
        <f t="shared" si="7"/>
        <v>4001563.0999999996</v>
      </c>
      <c r="Y19" s="131">
        <f t="shared" si="7"/>
        <v>28894241</v>
      </c>
      <c r="Z19" s="131">
        <f t="shared" si="7"/>
        <v>1200000</v>
      </c>
      <c r="AA19" s="131">
        <f t="shared" si="7"/>
        <v>0</v>
      </c>
      <c r="AB19" s="131">
        <f t="shared" si="7"/>
        <v>1200000</v>
      </c>
      <c r="AC19" s="131">
        <f t="shared" si="7"/>
        <v>0</v>
      </c>
      <c r="AD19" s="131">
        <f t="shared" si="7"/>
        <v>1200000</v>
      </c>
      <c r="AE19" s="131">
        <f t="shared" si="7"/>
        <v>0</v>
      </c>
      <c r="AF19" s="131">
        <f t="shared" si="7"/>
        <v>739644.46999999974</v>
      </c>
      <c r="AG19" s="131">
        <f t="shared" si="7"/>
        <v>0</v>
      </c>
      <c r="AH19" s="131">
        <f t="shared" si="7"/>
        <v>4339644.47</v>
      </c>
      <c r="AI19" s="131">
        <f t="shared" si="7"/>
        <v>92010662.280000001</v>
      </c>
      <c r="AJ19" s="131">
        <f t="shared" si="7"/>
        <v>0</v>
      </c>
      <c r="AK19" s="131">
        <f t="shared" si="7"/>
        <v>0</v>
      </c>
      <c r="AL19" s="131">
        <f t="shared" ref="AL19:BF19" si="8">SUM(AL20:AL27)</f>
        <v>0</v>
      </c>
      <c r="AM19" s="131">
        <f t="shared" si="8"/>
        <v>0</v>
      </c>
      <c r="AN19" s="131">
        <f t="shared" si="8"/>
        <v>0</v>
      </c>
      <c r="AO19" s="131">
        <f t="shared" si="8"/>
        <v>0</v>
      </c>
      <c r="AP19" s="131">
        <f t="shared" si="8"/>
        <v>0</v>
      </c>
      <c r="AQ19" s="131">
        <f t="shared" si="8"/>
        <v>0</v>
      </c>
      <c r="AR19" s="131">
        <f t="shared" si="8"/>
        <v>0</v>
      </c>
      <c r="AS19" s="131">
        <f t="shared" si="8"/>
        <v>0</v>
      </c>
      <c r="AT19" s="131">
        <f t="shared" si="8"/>
        <v>0</v>
      </c>
      <c r="AU19" s="131">
        <f t="shared" si="8"/>
        <v>0</v>
      </c>
      <c r="AV19" s="131">
        <f t="shared" si="8"/>
        <v>0</v>
      </c>
      <c r="AW19" s="131">
        <f t="shared" si="8"/>
        <v>0</v>
      </c>
      <c r="AX19" s="131">
        <f t="shared" si="8"/>
        <v>0</v>
      </c>
      <c r="AY19" s="131">
        <f t="shared" si="8"/>
        <v>0</v>
      </c>
      <c r="AZ19" s="131">
        <f t="shared" si="8"/>
        <v>0</v>
      </c>
      <c r="BA19" s="131">
        <f t="shared" si="8"/>
        <v>0</v>
      </c>
      <c r="BB19" s="131">
        <f t="shared" si="8"/>
        <v>0</v>
      </c>
      <c r="BC19" s="131">
        <f t="shared" si="8"/>
        <v>0</v>
      </c>
      <c r="BD19" s="131">
        <f t="shared" si="8"/>
        <v>45065449.569999993</v>
      </c>
      <c r="BE19" s="131">
        <f t="shared" si="8"/>
        <v>155556310.852</v>
      </c>
      <c r="BF19" s="131">
        <f t="shared" si="8"/>
        <v>200621760.42199999</v>
      </c>
    </row>
    <row r="20" spans="1:58" x14ac:dyDescent="0.25">
      <c r="A20" s="104" t="s">
        <v>201</v>
      </c>
      <c r="B20" s="117">
        <v>0</v>
      </c>
      <c r="C20" s="105">
        <v>0</v>
      </c>
      <c r="D20" s="106">
        <f t="shared" ref="D20:D27" si="9">B20+C20</f>
        <v>0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</row>
    <row r="21" spans="1:58" x14ac:dyDescent="0.25">
      <c r="A21" s="147" t="s">
        <v>202</v>
      </c>
      <c r="B21" s="204">
        <v>36724242</v>
      </c>
      <c r="C21" s="149">
        <v>15612726</v>
      </c>
      <c r="D21" s="113">
        <f t="shared" si="9"/>
        <v>52336968</v>
      </c>
      <c r="F21" s="106">
        <f>'[4]Simulação Real Aberta'!F48+'[4]Simulação Real Aberta'!F49</f>
        <v>0</v>
      </c>
      <c r="G21" s="106">
        <f>'[4]Simulação Real Aberta'!G48+'[4]Simulação Real Aberta'!G49</f>
        <v>0</v>
      </c>
      <c r="H21" s="106">
        <f>'[4]Simulação Real Aberta'!H48+'[4]Simulação Real Aberta'!H49</f>
        <v>0</v>
      </c>
      <c r="I21" s="106">
        <f>'[4]Simulação Real Aberta'!I48+'[4]Simulação Real Aberta'!I49</f>
        <v>0</v>
      </c>
      <c r="J21" s="106">
        <f>'[4]Simulação Real Aberta'!J48+'[4]Simulação Real Aberta'!J49</f>
        <v>0</v>
      </c>
      <c r="K21" s="106">
        <f>'[4]Simulação Real Aberta'!K48+'[4]Simulação Real Aberta'!K49</f>
        <v>0</v>
      </c>
      <c r="L21" s="106">
        <f>'[4]Simulação Real Aberta'!L48+'[4]Simulação Real Aberta'!L49</f>
        <v>0</v>
      </c>
      <c r="M21" s="106">
        <f>'[4]Simulação Real Aberta'!M48+'[4]Simulação Real Aberta'!M49</f>
        <v>0</v>
      </c>
      <c r="N21" s="106">
        <f>'[4]Simulação Real Aberta'!N48+'[4]Simulação Real Aberta'!N49</f>
        <v>36724242</v>
      </c>
      <c r="O21" s="106">
        <f>'[4]Simulação Real Aberta'!O48+'[4]Simulação Real Aberta'!O49</f>
        <v>15612726</v>
      </c>
      <c r="P21" s="106">
        <f>'[4]Simulação Real Aberta'!P48+'[4]Simulação Real Aberta'!P49</f>
        <v>0</v>
      </c>
      <c r="Q21" s="106">
        <f>'[4]Simulação Real Aberta'!Q48+'[4]Simulação Real Aberta'!Q49</f>
        <v>0</v>
      </c>
      <c r="R21" s="106">
        <f>'[4]Simulação Real Aberta'!R48+'[4]Simulação Real Aberta'!R49</f>
        <v>0</v>
      </c>
      <c r="S21" s="106">
        <f>'[4]Simulação Real Aberta'!S48+'[4]Simulação Real Aberta'!S49</f>
        <v>0</v>
      </c>
      <c r="T21" s="106">
        <f>'[4]Simulação Real Aberta'!T48+'[4]Simulação Real Aberta'!T49</f>
        <v>0</v>
      </c>
      <c r="U21" s="106">
        <f>'[4]Simulação Real Aberta'!U48+'[4]Simulação Real Aberta'!U49</f>
        <v>0</v>
      </c>
      <c r="V21" s="106">
        <f>'[4]Simulação Real Aberta'!V48+'[4]Simulação Real Aberta'!V49</f>
        <v>0</v>
      </c>
      <c r="W21" s="106">
        <f>'[4]Simulação Real Aberta'!W48+'[4]Simulação Real Aberta'!W49</f>
        <v>0</v>
      </c>
      <c r="X21" s="106">
        <f>'[4]Simulação Real Aberta'!X48+'[4]Simulação Real Aberta'!X49</f>
        <v>0</v>
      </c>
      <c r="Y21" s="106">
        <f>'[4]Simulação Real Aberta'!Y48+'[4]Simulação Real Aberta'!Y49</f>
        <v>0</v>
      </c>
      <c r="Z21" s="106">
        <f>'[4]Simulação Real Aberta'!Z48+'[4]Simulação Real Aberta'!Z49</f>
        <v>0</v>
      </c>
      <c r="AA21" s="106">
        <f>'[4]Simulação Real Aberta'!AA48+'[4]Simulação Real Aberta'!AA49</f>
        <v>0</v>
      </c>
      <c r="AB21" s="106">
        <f>'[4]Simulação Real Aberta'!AB48+'[4]Simulação Real Aberta'!AB49</f>
        <v>0</v>
      </c>
      <c r="AC21" s="106">
        <f>'[4]Simulação Real Aberta'!AC48+'[4]Simulação Real Aberta'!AC49</f>
        <v>0</v>
      </c>
      <c r="AD21" s="106">
        <f>'[4]Simulação Real Aberta'!AD48+'[4]Simulação Real Aberta'!AD49</f>
        <v>0</v>
      </c>
      <c r="AE21" s="106">
        <f>'[4]Simulação Real Aberta'!AE48+'[4]Simulação Real Aberta'!AE49</f>
        <v>0</v>
      </c>
      <c r="AF21" s="106">
        <f>'[4]Simulação Real Aberta'!AF48+'[4]Simulação Real Aberta'!AF49</f>
        <v>0</v>
      </c>
      <c r="AG21" s="106">
        <f>'[4]Simulação Real Aberta'!AG48+'[4]Simulação Real Aberta'!AG49</f>
        <v>0</v>
      </c>
      <c r="AH21" s="106">
        <f>'[4]Simulação Real Aberta'!AH48+'[4]Simulação Real Aberta'!AH49</f>
        <v>0</v>
      </c>
      <c r="AI21" s="106">
        <f>'[4]Simulação Real Aberta'!AI48+'[4]Simulação Real Aberta'!AI49</f>
        <v>0</v>
      </c>
      <c r="AJ21" s="106">
        <f>'[4]Simulação Real Aberta'!AJ48+'[4]Simulação Real Aberta'!AJ49</f>
        <v>0</v>
      </c>
      <c r="AK21" s="106">
        <f>'[4]Simulação Real Aberta'!AK48+'[4]Simulação Real Aberta'!AK49</f>
        <v>0</v>
      </c>
      <c r="AL21" s="106">
        <f>'[4]Simulação Real Aberta'!AL48+'[4]Simulação Real Aberta'!AL49</f>
        <v>0</v>
      </c>
      <c r="AM21" s="106">
        <f>'[4]Simulação Real Aberta'!AM48+'[4]Simulação Real Aberta'!AM49</f>
        <v>0</v>
      </c>
      <c r="AN21" s="106">
        <f>'[4]Simulação Real Aberta'!AN48+'[4]Simulação Real Aberta'!AN49</f>
        <v>0</v>
      </c>
      <c r="AO21" s="106">
        <f>'[4]Simulação Real Aberta'!AO48+'[4]Simulação Real Aberta'!AO49</f>
        <v>0</v>
      </c>
      <c r="AP21" s="106">
        <f>'[4]Simulação Real Aberta'!AP48+'[4]Simulação Real Aberta'!AP49</f>
        <v>0</v>
      </c>
      <c r="AQ21" s="106">
        <f>'[4]Simulação Real Aberta'!AQ48+'[4]Simulação Real Aberta'!AQ49</f>
        <v>0</v>
      </c>
      <c r="AR21" s="106">
        <f>'[4]Simulação Real Aberta'!AR48+'[4]Simulação Real Aberta'!AR49</f>
        <v>0</v>
      </c>
      <c r="AS21" s="106">
        <f>'[4]Simulação Real Aberta'!AS48+'[4]Simulação Real Aberta'!AS49</f>
        <v>0</v>
      </c>
      <c r="AT21" s="106">
        <f>'[4]Simulação Real Aberta'!AT48+'[4]Simulação Real Aberta'!AT49</f>
        <v>0</v>
      </c>
      <c r="AU21" s="106">
        <f>'[4]Simulação Real Aberta'!AU48+'[4]Simulação Real Aberta'!AU49</f>
        <v>0</v>
      </c>
      <c r="AV21" s="106">
        <f>'[4]Simulação Real Aberta'!AV48+'[4]Simulação Real Aberta'!AV49</f>
        <v>0</v>
      </c>
      <c r="AW21" s="106">
        <f>'[4]Simulação Real Aberta'!AW48+'[4]Simulação Real Aberta'!AW49</f>
        <v>0</v>
      </c>
      <c r="AX21" s="106">
        <f>'[4]Simulação Real Aberta'!AX48+'[4]Simulação Real Aberta'!AX49</f>
        <v>0</v>
      </c>
      <c r="AY21" s="106">
        <f>'[4]Simulação Real Aberta'!AY48+'[4]Simulação Real Aberta'!AY49</f>
        <v>0</v>
      </c>
      <c r="AZ21" s="106">
        <f>'[4]Simulação Real Aberta'!AZ48+'[4]Simulação Real Aberta'!AZ49</f>
        <v>0</v>
      </c>
      <c r="BA21" s="106">
        <f>'[4]Simulação Real Aberta'!BA48+'[4]Simulação Real Aberta'!BA49</f>
        <v>0</v>
      </c>
      <c r="BB21" s="106">
        <f>'[4]Simulação Real Aberta'!BB48+'[4]Simulação Real Aberta'!BB49</f>
        <v>0</v>
      </c>
      <c r="BC21" s="106">
        <f>'[4]Simulação Real Aberta'!BC48+'[4]Simulação Real Aberta'!BC49</f>
        <v>0</v>
      </c>
      <c r="BD21" s="106">
        <f>'[4]Simulação Real Aberta'!BD48+'[4]Simulação Real Aberta'!BD49</f>
        <v>36724242</v>
      </c>
      <c r="BE21" s="106">
        <f>'[4]Simulação Real Aberta'!BE48+'[4]Simulação Real Aberta'!BE49</f>
        <v>15612726</v>
      </c>
      <c r="BF21" s="106">
        <f>'[4]Simulação Real Aberta'!BF48+'[4]Simulação Real Aberta'!BF49</f>
        <v>52336968</v>
      </c>
    </row>
    <row r="22" spans="1:58" x14ac:dyDescent="0.25">
      <c r="A22" s="221" t="s">
        <v>230</v>
      </c>
      <c r="B22" s="148"/>
      <c r="C22" s="149"/>
      <c r="D22" s="113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</row>
    <row r="23" spans="1:58" ht="24" x14ac:dyDescent="0.25">
      <c r="A23" s="205" t="s">
        <v>203</v>
      </c>
      <c r="B23" s="206">
        <v>0</v>
      </c>
      <c r="C23" s="149">
        <f>BE23</f>
        <v>134525409.852</v>
      </c>
      <c r="D23" s="106">
        <f>B23+C23</f>
        <v>134525409.852</v>
      </c>
      <c r="F23" s="106">
        <f>'[4]Simulação Real Aberta'!F51+'[4]Simulação Real Aberta'!F52+'[4]Simulação Real Aberta'!F53+'[4]Simulação Real Aberta'!F54+'[4]Simulação Real Aberta'!F55+'[4]Simulação Real Aberta'!F56+'[4]Simulação Real Aberta'!F57</f>
        <v>0</v>
      </c>
      <c r="G23" s="106">
        <f>'[4]Simulação Real Aberta'!G51+'[4]Simulação Real Aberta'!G52+'[4]Simulação Real Aberta'!G53+'[4]Simulação Real Aberta'!G54+'[4]Simulação Real Aberta'!G55+'[4]Simulação Real Aberta'!G56+'[4]Simulação Real Aberta'!G57</f>
        <v>6157021.0999999996</v>
      </c>
      <c r="H23" s="106">
        <f>'[4]Simulação Real Aberta'!H51+'[4]Simulação Real Aberta'!H52+'[4]Simulação Real Aberta'!H53+'[4]Simulação Real Aberta'!H54+'[4]Simulação Real Aberta'!H55+'[4]Simulação Real Aberta'!H56+'[4]Simulação Real Aberta'!H57</f>
        <v>0</v>
      </c>
      <c r="I23" s="106">
        <f>'[4]Simulação Real Aberta'!I51+'[4]Simulação Real Aberta'!I52+'[4]Simulação Real Aberta'!I53+'[4]Simulação Real Aberta'!I54+'[4]Simulação Real Aberta'!I55+'[4]Simulação Real Aberta'!I56+'[4]Simulação Real Aberta'!I57</f>
        <v>0</v>
      </c>
      <c r="J23" s="106">
        <f>'[4]Simulação Real Aberta'!J51+'[4]Simulação Real Aberta'!J52+'[4]Simulação Real Aberta'!J53+'[4]Simulação Real Aberta'!J54+'[4]Simulação Real Aberta'!J55+'[4]Simulação Real Aberta'!J56+'[4]Simulação Real Aberta'!J57</f>
        <v>0</v>
      </c>
      <c r="K23" s="106">
        <f>'[4]Simulação Real Aberta'!K51+'[4]Simulação Real Aberta'!K52+'[4]Simulação Real Aberta'!K53+'[4]Simulação Real Aberta'!K54+'[4]Simulação Real Aberta'!K55+'[4]Simulação Real Aberta'!K56+'[4]Simulação Real Aberta'!K57</f>
        <v>0</v>
      </c>
      <c r="L23" s="106">
        <f>'[4]Simulação Real Aberta'!L51+'[4]Simulação Real Aberta'!L52+'[4]Simulação Real Aberta'!L53+'[4]Simulação Real Aberta'!L54+'[4]Simulação Real Aberta'!L55+'[4]Simulação Real Aberta'!L56+'[4]Simulação Real Aberta'!L57</f>
        <v>0</v>
      </c>
      <c r="M23" s="106">
        <f>'[4]Simulação Real Aberta'!M51+'[4]Simulação Real Aberta'!M52+'[4]Simulação Real Aberta'!M53+'[4]Simulação Real Aberta'!M54+'[4]Simulação Real Aberta'!M55+'[4]Simulação Real Aberta'!M56+'[4]Simulação Real Aberta'!M57</f>
        <v>0</v>
      </c>
      <c r="N23" s="106">
        <f>'[4]Simulação Real Aberta'!N51+'[4]Simulação Real Aberta'!N52+'[4]Simulação Real Aberta'!N53+'[4]Simulação Real Aberta'!N54+'[4]Simulação Real Aberta'!N55+'[4]Simulação Real Aberta'!N56+'[4]Simulação Real Aberta'!N57</f>
        <v>0</v>
      </c>
      <c r="O23" s="106">
        <f>'[4]Simulação Real Aberta'!O51+'[4]Simulação Real Aberta'!O52+'[4]Simulação Real Aberta'!O53+'[4]Simulação Real Aberta'!O54+'[4]Simulação Real Aberta'!O55+'[4]Simulação Real Aberta'!O56+'[4]Simulação Real Aberta'!O57</f>
        <v>13620506.572000002</v>
      </c>
      <c r="P23" s="106">
        <f>'[4]Simulação Real Aberta'!P51+'[4]Simulação Real Aberta'!P52+'[4]Simulação Real Aberta'!P53+'[4]Simulação Real Aberta'!P54+'[4]Simulação Real Aberta'!P55+'[4]Simulação Real Aberta'!P56+'[4]Simulação Real Aberta'!P57</f>
        <v>0</v>
      </c>
      <c r="Q23" s="106">
        <f>'[4]Simulação Real Aberta'!Q51+'[4]Simulação Real Aberta'!Q52+'[4]Simulação Real Aberta'!Q53+'[4]Simulação Real Aberta'!Q54+'[4]Simulação Real Aberta'!Q55+'[4]Simulação Real Aberta'!Q56+'[4]Simulação Real Aberta'!Q57</f>
        <v>0</v>
      </c>
      <c r="R23" s="106">
        <f>'[4]Simulação Real Aberta'!R51+'[4]Simulação Real Aberta'!R52+'[4]Simulação Real Aberta'!R53+'[4]Simulação Real Aberta'!R54+'[4]Simulação Real Aberta'!R55+'[4]Simulação Real Aberta'!R56+'[4]Simulação Real Aberta'!R57</f>
        <v>0</v>
      </c>
      <c r="S23" s="106">
        <f>'[4]Simulação Real Aberta'!S51+'[4]Simulação Real Aberta'!S52+'[4]Simulação Real Aberta'!S53+'[4]Simulação Real Aberta'!S54+'[4]Simulação Real Aberta'!S55+'[4]Simulação Real Aberta'!S56+'[4]Simulação Real Aberta'!S57</f>
        <v>0</v>
      </c>
      <c r="T23" s="106">
        <f>'[4]Simulação Real Aberta'!T51+'[4]Simulação Real Aberta'!T52+'[4]Simulação Real Aberta'!T53+'[4]Simulação Real Aberta'!T54+'[4]Simulação Real Aberta'!T55+'[4]Simulação Real Aberta'!T56+'[4]Simulação Real Aberta'!T57</f>
        <v>0</v>
      </c>
      <c r="U23" s="106">
        <f>'[4]Simulação Real Aberta'!U51+'[4]Simulação Real Aberta'!U52+'[4]Simulação Real Aberta'!U53+'[4]Simulação Real Aberta'!U54+'[4]Simulação Real Aberta'!U55+'[4]Simulação Real Aberta'!U56+'[4]Simulação Real Aberta'!U57</f>
        <v>0</v>
      </c>
      <c r="V23" s="106">
        <f>'[4]Simulação Real Aberta'!V51+'[4]Simulação Real Aberta'!V52+'[4]Simulação Real Aberta'!V53+'[4]Simulação Real Aberta'!V54+'[4]Simulação Real Aberta'!V55+'[4]Simulação Real Aberta'!V56+'[4]Simulação Real Aberta'!V57</f>
        <v>0</v>
      </c>
      <c r="W23" s="106">
        <f>'[4]Simulação Real Aberta'!W51+'[4]Simulação Real Aberta'!W52+'[4]Simulação Real Aberta'!W53+'[4]Simulação Real Aberta'!W54+'[4]Simulação Real Aberta'!W55+'[4]Simulação Real Aberta'!W56+'[4]Simulação Real Aberta'!W57</f>
        <v>0</v>
      </c>
      <c r="X23" s="106">
        <f>'[4]Simulação Real Aberta'!X51+'[4]Simulação Real Aberta'!X52+'[4]Simulação Real Aberta'!X53+'[4]Simulação Real Aberta'!X54+'[4]Simulação Real Aberta'!X55+'[4]Simulação Real Aberta'!X56+'[4]Simulação Real Aberta'!X57</f>
        <v>0</v>
      </c>
      <c r="Y23" s="106">
        <f>'[4]Simulação Real Aberta'!Y51+'[4]Simulação Real Aberta'!Y52+'[4]Simulação Real Aberta'!Y53+'[4]Simulação Real Aberta'!Y54+'[4]Simulação Real Aberta'!Y55+'[4]Simulação Real Aberta'!Y56+'[4]Simulação Real Aberta'!Y57</f>
        <v>28894241</v>
      </c>
      <c r="Z23" s="106">
        <f>'[4]Simulação Real Aberta'!Z51+'[4]Simulação Real Aberta'!Z52+'[4]Simulação Real Aberta'!Z53+'[4]Simulação Real Aberta'!Z54+'[4]Simulação Real Aberta'!Z55+'[4]Simulação Real Aberta'!Z56+'[4]Simulação Real Aberta'!Z57</f>
        <v>0</v>
      </c>
      <c r="AA23" s="106">
        <f>'[4]Simulação Real Aberta'!AA51+'[4]Simulação Real Aberta'!AA52+'[4]Simulação Real Aberta'!AA53+'[4]Simulação Real Aberta'!AA54+'[4]Simulação Real Aberta'!AA55+'[4]Simulação Real Aberta'!AA56+'[4]Simulação Real Aberta'!AA57</f>
        <v>0</v>
      </c>
      <c r="AB23" s="106">
        <f>'[4]Simulação Real Aberta'!AB51+'[4]Simulação Real Aberta'!AB52+'[4]Simulação Real Aberta'!AB53+'[4]Simulação Real Aberta'!AB54+'[4]Simulação Real Aberta'!AB55+'[4]Simulação Real Aberta'!AB56+'[4]Simulação Real Aberta'!AB57</f>
        <v>0</v>
      </c>
      <c r="AC23" s="106">
        <f>'[4]Simulação Real Aberta'!AC51+'[4]Simulação Real Aberta'!AC52+'[4]Simulação Real Aberta'!AC53+'[4]Simulação Real Aberta'!AC54+'[4]Simulação Real Aberta'!AC55+'[4]Simulação Real Aberta'!AC56+'[4]Simulação Real Aberta'!AC57</f>
        <v>0</v>
      </c>
      <c r="AD23" s="106">
        <f>'[4]Simulação Real Aberta'!AD51+'[4]Simulação Real Aberta'!AD52+'[4]Simulação Real Aberta'!AD53+'[4]Simulação Real Aberta'!AD54+'[4]Simulação Real Aberta'!AD55+'[4]Simulação Real Aberta'!AD56+'[4]Simulação Real Aberta'!AD57</f>
        <v>0</v>
      </c>
      <c r="AE23" s="106">
        <f>'[4]Simulação Real Aberta'!AE51+'[4]Simulação Real Aberta'!AE52+'[4]Simulação Real Aberta'!AE53+'[4]Simulação Real Aberta'!AE54+'[4]Simulação Real Aberta'!AE55+'[4]Simulação Real Aberta'!AE56+'[4]Simulação Real Aberta'!AE57</f>
        <v>0</v>
      </c>
      <c r="AF23" s="106">
        <f>'[4]Simulação Real Aberta'!AF51+'[4]Simulação Real Aberta'!AF52+'[4]Simulação Real Aberta'!AF53+'[4]Simulação Real Aberta'!AF54+'[4]Simulação Real Aberta'!AF55+'[4]Simulação Real Aberta'!AF56+'[4]Simulação Real Aberta'!AF57</f>
        <v>0</v>
      </c>
      <c r="AG23" s="106">
        <f>'[4]Simulação Real Aberta'!AG51+'[4]Simulação Real Aberta'!AG52+'[4]Simulação Real Aberta'!AG53+'[4]Simulação Real Aberta'!AG54+'[4]Simulação Real Aberta'!AG55+'[4]Simulação Real Aberta'!AG56+'[4]Simulação Real Aberta'!AG57</f>
        <v>0</v>
      </c>
      <c r="AH23" s="106">
        <f>'[4]Simulação Real Aberta'!AH51+'[4]Simulação Real Aberta'!AH52+'[4]Simulação Real Aberta'!AH53+'[4]Simulação Real Aberta'!AH54+'[4]Simulação Real Aberta'!AH55+'[4]Simulação Real Aberta'!AH56+'[4]Simulação Real Aberta'!AH57</f>
        <v>0</v>
      </c>
      <c r="AI23" s="106">
        <f>'[4]Simulação Real Aberta'!AI51+'[4]Simulação Real Aberta'!AI52+'[4]Simulação Real Aberta'!AI53+'[4]Simulação Real Aberta'!AI54+'[4]Simulação Real Aberta'!AI55+'[4]Simulação Real Aberta'!AI56+'[4]Simulação Real Aberta'!AI57</f>
        <v>92010662.280000001</v>
      </c>
      <c r="AJ23" s="106">
        <f>'[4]Simulação Real Aberta'!AJ51+'[4]Simulação Real Aberta'!AJ52+'[4]Simulação Real Aberta'!AJ53+'[4]Simulação Real Aberta'!AJ54+'[4]Simulação Real Aberta'!AJ55+'[4]Simulação Real Aberta'!AJ56+'[4]Simulação Real Aberta'!AJ57</f>
        <v>0</v>
      </c>
      <c r="AK23" s="106">
        <f>'[4]Simulação Real Aberta'!AK51+'[4]Simulação Real Aberta'!AK52+'[4]Simulação Real Aberta'!AK53+'[4]Simulação Real Aberta'!AK54+'[4]Simulação Real Aberta'!AK55+'[4]Simulação Real Aberta'!AK56+'[4]Simulação Real Aberta'!AK57</f>
        <v>0</v>
      </c>
      <c r="AL23" s="106">
        <f>'[4]Simulação Real Aberta'!AL51+'[4]Simulação Real Aberta'!AL52+'[4]Simulação Real Aberta'!AL53+'[4]Simulação Real Aberta'!AL54+'[4]Simulação Real Aberta'!AL55+'[4]Simulação Real Aberta'!AL56+'[4]Simulação Real Aberta'!AL57</f>
        <v>0</v>
      </c>
      <c r="AM23" s="106">
        <f>'[4]Simulação Real Aberta'!AM51+'[4]Simulação Real Aberta'!AM52+'[4]Simulação Real Aberta'!AM53+'[4]Simulação Real Aberta'!AM54+'[4]Simulação Real Aberta'!AM55+'[4]Simulação Real Aberta'!AM56+'[4]Simulação Real Aberta'!AM57</f>
        <v>0</v>
      </c>
      <c r="AN23" s="106">
        <f>'[4]Simulação Real Aberta'!AN51+'[4]Simulação Real Aberta'!AN52+'[4]Simulação Real Aberta'!AN53+'[4]Simulação Real Aberta'!AN54+'[4]Simulação Real Aberta'!AN55+'[4]Simulação Real Aberta'!AN56+'[4]Simulação Real Aberta'!AN57</f>
        <v>0</v>
      </c>
      <c r="AO23" s="106">
        <f>'[4]Simulação Real Aberta'!AO51+'[4]Simulação Real Aberta'!AO52+'[4]Simulação Real Aberta'!AO53+'[4]Simulação Real Aberta'!AO54+'[4]Simulação Real Aberta'!AO55+'[4]Simulação Real Aberta'!AO56+'[4]Simulação Real Aberta'!AO57</f>
        <v>0</v>
      </c>
      <c r="AP23" s="106">
        <f>'[4]Simulação Real Aberta'!AP51+'[4]Simulação Real Aberta'!AP52+'[4]Simulação Real Aberta'!AP53+'[4]Simulação Real Aberta'!AP54+'[4]Simulação Real Aberta'!AP55+'[4]Simulação Real Aberta'!AP56+'[4]Simulação Real Aberta'!AP57</f>
        <v>0</v>
      </c>
      <c r="AQ23" s="106">
        <f>'[4]Simulação Real Aberta'!AQ51+'[4]Simulação Real Aberta'!AQ52+'[4]Simulação Real Aberta'!AQ53+'[4]Simulação Real Aberta'!AQ54+'[4]Simulação Real Aberta'!AQ55+'[4]Simulação Real Aberta'!AQ56+'[4]Simulação Real Aberta'!AQ57</f>
        <v>0</v>
      </c>
      <c r="AR23" s="106">
        <f>'[4]Simulação Real Aberta'!AR51+'[4]Simulação Real Aberta'!AR52+'[4]Simulação Real Aberta'!AR53+'[4]Simulação Real Aberta'!AR54+'[4]Simulação Real Aberta'!AR55+'[4]Simulação Real Aberta'!AR56+'[4]Simulação Real Aberta'!AR57</f>
        <v>0</v>
      </c>
      <c r="AS23" s="106">
        <f>'[4]Simulação Real Aberta'!AS51+'[4]Simulação Real Aberta'!AS52+'[4]Simulação Real Aberta'!AS53+'[4]Simulação Real Aberta'!AS54+'[4]Simulação Real Aberta'!AS55+'[4]Simulação Real Aberta'!AS56+'[4]Simulação Real Aberta'!AS57</f>
        <v>0</v>
      </c>
      <c r="AT23" s="106">
        <f>'[4]Simulação Real Aberta'!AT51+'[4]Simulação Real Aberta'!AT52+'[4]Simulação Real Aberta'!AT53+'[4]Simulação Real Aberta'!AT54+'[4]Simulação Real Aberta'!AT55+'[4]Simulação Real Aberta'!AT56+'[4]Simulação Real Aberta'!AT57</f>
        <v>0</v>
      </c>
      <c r="AU23" s="106">
        <f>'[4]Simulação Real Aberta'!AU51+'[4]Simulação Real Aberta'!AU52+'[4]Simulação Real Aberta'!AU53+'[4]Simulação Real Aberta'!AU54+'[4]Simulação Real Aberta'!AU55+'[4]Simulação Real Aberta'!AU56+'[4]Simulação Real Aberta'!AU57</f>
        <v>0</v>
      </c>
      <c r="AV23" s="106">
        <f>'[4]Simulação Real Aberta'!AV51+'[4]Simulação Real Aberta'!AV52+'[4]Simulação Real Aberta'!AV53+'[4]Simulação Real Aberta'!AV54+'[4]Simulação Real Aberta'!AV55+'[4]Simulação Real Aberta'!AV56+'[4]Simulação Real Aberta'!AV57</f>
        <v>0</v>
      </c>
      <c r="AW23" s="106">
        <f>'[4]Simulação Real Aberta'!AW51+'[4]Simulação Real Aberta'!AW52+'[4]Simulação Real Aberta'!AW53+'[4]Simulação Real Aberta'!AW54+'[4]Simulação Real Aberta'!AW55+'[4]Simulação Real Aberta'!AW56+'[4]Simulação Real Aberta'!AW57</f>
        <v>0</v>
      </c>
      <c r="AX23" s="106">
        <f>'[4]Simulação Real Aberta'!AX51+'[4]Simulação Real Aberta'!AX52+'[4]Simulação Real Aberta'!AX53+'[4]Simulação Real Aberta'!AX54+'[4]Simulação Real Aberta'!AX55+'[4]Simulação Real Aberta'!AX56+'[4]Simulação Real Aberta'!AX57</f>
        <v>0</v>
      </c>
      <c r="AY23" s="106">
        <f>'[4]Simulação Real Aberta'!AY51+'[4]Simulação Real Aberta'!AY52+'[4]Simulação Real Aberta'!AY53+'[4]Simulação Real Aberta'!AY54+'[4]Simulação Real Aberta'!AY55+'[4]Simulação Real Aberta'!AY56+'[4]Simulação Real Aberta'!AY57</f>
        <v>0</v>
      </c>
      <c r="AZ23" s="106">
        <f>'[4]Simulação Real Aberta'!AZ51+'[4]Simulação Real Aberta'!AZ52+'[4]Simulação Real Aberta'!AZ53+'[4]Simulação Real Aberta'!AZ54+'[4]Simulação Real Aberta'!AZ55+'[4]Simulação Real Aberta'!AZ56+'[4]Simulação Real Aberta'!AZ57</f>
        <v>0</v>
      </c>
      <c r="BA23" s="106">
        <f>'[4]Simulação Real Aberta'!BA51+'[4]Simulação Real Aberta'!BA52+'[4]Simulação Real Aberta'!BA53+'[4]Simulação Real Aberta'!BA54+'[4]Simulação Real Aberta'!BA55+'[4]Simulação Real Aberta'!BA56+'[4]Simulação Real Aberta'!BA57</f>
        <v>0</v>
      </c>
      <c r="BB23" s="106">
        <f>'[4]Simulação Real Aberta'!BB51+'[4]Simulação Real Aberta'!BB52+'[4]Simulação Real Aberta'!BB53+'[4]Simulação Real Aberta'!BB54+'[4]Simulação Real Aberta'!BB55+'[4]Simulação Real Aberta'!BB56+'[4]Simulação Real Aberta'!BB57</f>
        <v>0</v>
      </c>
      <c r="BC23" s="106">
        <f>'[4]Simulação Real Aberta'!BC51+'[4]Simulação Real Aberta'!BC52+'[4]Simulação Real Aberta'!BC53+'[4]Simulação Real Aberta'!BC54+'[4]Simulação Real Aberta'!BC55+'[4]Simulação Real Aberta'!BC56+'[4]Simulação Real Aberta'!BC57</f>
        <v>0</v>
      </c>
      <c r="BD23" s="106">
        <f>'[4]Simulação Real Aberta'!BD51+'[4]Simulação Real Aberta'!BD52+'[4]Simulação Real Aberta'!BD53+'[4]Simulação Real Aberta'!BD54+'[4]Simulação Real Aberta'!BD55+'[4]Simulação Real Aberta'!BD56+'[4]Simulação Real Aberta'!BD57</f>
        <v>0</v>
      </c>
      <c r="BE23" s="106">
        <f>'[4]Simulação Real Aberta'!BE51+'[4]Simulação Real Aberta'!BE52+'[4]Simulação Real Aberta'!BE53+'[4]Simulação Real Aberta'!BE54+'[4]Simulação Real Aberta'!BE55+'[4]Simulação Real Aberta'!BE56+'[4]Simulação Real Aberta'!BE57</f>
        <v>134525409.852</v>
      </c>
      <c r="BF23" s="106">
        <f>'[4]Simulação Real Aberta'!BF51+'[4]Simulação Real Aberta'!BF52+'[4]Simulação Real Aberta'!BF53+'[4]Simulação Real Aberta'!BF54+'[4]Simulação Real Aberta'!BF55+'[4]Simulação Real Aberta'!BF56+'[4]Simulação Real Aberta'!BF57</f>
        <v>134525409.852</v>
      </c>
    </row>
    <row r="24" spans="1:58" ht="24" x14ac:dyDescent="0.25">
      <c r="A24" s="115" t="s">
        <v>198</v>
      </c>
      <c r="B24" s="105">
        <v>1314688.69</v>
      </c>
      <c r="C24" s="105">
        <v>0</v>
      </c>
      <c r="D24" s="106">
        <f t="shared" si="9"/>
        <v>1314688.69</v>
      </c>
      <c r="F24" s="106">
        <f>'[4]Simulação Real Aberta'!F59+'[4]Simulação Real Aberta'!F60</f>
        <v>0</v>
      </c>
      <c r="G24" s="106">
        <f>'[4]Simulação Real Aberta'!G59+'[4]Simulação Real Aberta'!G60</f>
        <v>0</v>
      </c>
      <c r="H24" s="106">
        <f>'[4]Simulação Real Aberta'!H59+'[4]Simulação Real Aberta'!H60</f>
        <v>0</v>
      </c>
      <c r="I24" s="106">
        <f>'[4]Simulação Real Aberta'!I59+'[4]Simulação Real Aberta'!I60</f>
        <v>0</v>
      </c>
      <c r="J24" s="106">
        <f>'[4]Simulação Real Aberta'!J59+'[4]Simulação Real Aberta'!J60</f>
        <v>0</v>
      </c>
      <c r="K24" s="106">
        <f>'[4]Simulação Real Aberta'!K59+'[4]Simulação Real Aberta'!K60</f>
        <v>0</v>
      </c>
      <c r="L24" s="106">
        <f>'[4]Simulação Real Aberta'!L59+'[4]Simulação Real Aberta'!L60</f>
        <v>0</v>
      </c>
      <c r="M24" s="106">
        <f>'[4]Simulação Real Aberta'!M59+'[4]Simulação Real Aberta'!M60</f>
        <v>0</v>
      </c>
      <c r="N24" s="106">
        <f>'[4]Simulação Real Aberta'!N59+'[4]Simulação Real Aberta'!N60</f>
        <v>0</v>
      </c>
      <c r="O24" s="106">
        <f>'[4]Simulação Real Aberta'!O59+'[4]Simulação Real Aberta'!O60</f>
        <v>0</v>
      </c>
      <c r="P24" s="106">
        <f>'[4]Simulação Real Aberta'!P59+'[4]Simulação Real Aberta'!P60</f>
        <v>0</v>
      </c>
      <c r="Q24" s="106">
        <f>'[4]Simulação Real Aberta'!Q59+'[4]Simulação Real Aberta'!Q60</f>
        <v>0</v>
      </c>
      <c r="R24" s="106">
        <f>'[4]Simulação Real Aberta'!R59+'[4]Simulação Real Aberta'!R60</f>
        <v>296455.08333333331</v>
      </c>
      <c r="S24" s="106">
        <f>'[4]Simulação Real Aberta'!S59+'[4]Simulação Real Aberta'!S60</f>
        <v>0</v>
      </c>
      <c r="T24" s="106">
        <f>'[4]Simulação Real Aberta'!T59+'[4]Simulação Real Aberta'!T60</f>
        <v>465180.89733333333</v>
      </c>
      <c r="U24" s="106">
        <f>'[4]Simulação Real Aberta'!U59+'[4]Simulação Real Aberta'!U60</f>
        <v>0</v>
      </c>
      <c r="V24" s="106">
        <f>'[4]Simulação Real Aberta'!V59+'[4]Simulação Real Aberta'!V60</f>
        <v>553052.7093333333</v>
      </c>
      <c r="W24" s="106">
        <f>'[4]Simulação Real Aberta'!W59+'[4]Simulação Real Aberta'!W60</f>
        <v>0</v>
      </c>
      <c r="X24" s="106">
        <f>'[4]Simulação Real Aberta'!X59+'[4]Simulação Real Aberta'!X60</f>
        <v>1314688.69</v>
      </c>
      <c r="Y24" s="106">
        <f>'[4]Simulação Real Aberta'!Y59+'[4]Simulação Real Aberta'!Y60</f>
        <v>0</v>
      </c>
      <c r="Z24" s="106">
        <f>'[4]Simulação Real Aberta'!Z59+'[4]Simulação Real Aberta'!Z60</f>
        <v>0</v>
      </c>
      <c r="AA24" s="106">
        <f>'[4]Simulação Real Aberta'!AA59+'[4]Simulação Real Aberta'!AA60</f>
        <v>0</v>
      </c>
      <c r="AB24" s="106">
        <f>'[4]Simulação Real Aberta'!AB59+'[4]Simulação Real Aberta'!AB60</f>
        <v>0</v>
      </c>
      <c r="AC24" s="106">
        <f>'[4]Simulação Real Aberta'!AC59+'[4]Simulação Real Aberta'!AC60</f>
        <v>0</v>
      </c>
      <c r="AD24" s="106">
        <f>'[4]Simulação Real Aberta'!AD59+'[4]Simulação Real Aberta'!AD60</f>
        <v>0</v>
      </c>
      <c r="AE24" s="106">
        <f>'[4]Simulação Real Aberta'!AE59+'[4]Simulação Real Aberta'!AE60</f>
        <v>0</v>
      </c>
      <c r="AF24" s="106">
        <f>'[4]Simulação Real Aberta'!AF59+'[4]Simulação Real Aberta'!AF60</f>
        <v>0</v>
      </c>
      <c r="AG24" s="106">
        <f>'[4]Simulação Real Aberta'!AG59+'[4]Simulação Real Aberta'!AG60</f>
        <v>0</v>
      </c>
      <c r="AH24" s="106">
        <f>'[4]Simulação Real Aberta'!AH59+'[4]Simulação Real Aberta'!AH60</f>
        <v>0</v>
      </c>
      <c r="AI24" s="106">
        <f>'[4]Simulação Real Aberta'!AI59+'[4]Simulação Real Aberta'!AI60</f>
        <v>0</v>
      </c>
      <c r="AJ24" s="106">
        <f>'[4]Simulação Real Aberta'!AJ59+'[4]Simulação Real Aberta'!AJ60</f>
        <v>0</v>
      </c>
      <c r="AK24" s="106">
        <f>'[4]Simulação Real Aberta'!AK59+'[4]Simulação Real Aberta'!AK60</f>
        <v>0</v>
      </c>
      <c r="AL24" s="106">
        <f>'[4]Simulação Real Aberta'!AL59+'[4]Simulação Real Aberta'!AL60</f>
        <v>0</v>
      </c>
      <c r="AM24" s="106">
        <f>'[4]Simulação Real Aberta'!AM59+'[4]Simulação Real Aberta'!AM60</f>
        <v>0</v>
      </c>
      <c r="AN24" s="106">
        <f>'[4]Simulação Real Aberta'!AN59+'[4]Simulação Real Aberta'!AN60</f>
        <v>0</v>
      </c>
      <c r="AO24" s="106">
        <f>'[4]Simulação Real Aberta'!AO59+'[4]Simulação Real Aberta'!AO60</f>
        <v>0</v>
      </c>
      <c r="AP24" s="106">
        <f>'[4]Simulação Real Aberta'!AP59+'[4]Simulação Real Aberta'!AP60</f>
        <v>0</v>
      </c>
      <c r="AQ24" s="106">
        <f>'[4]Simulação Real Aberta'!AQ59+'[4]Simulação Real Aberta'!AQ60</f>
        <v>0</v>
      </c>
      <c r="AR24" s="106">
        <f>'[4]Simulação Real Aberta'!AR59+'[4]Simulação Real Aberta'!AR60</f>
        <v>0</v>
      </c>
      <c r="AS24" s="106">
        <f>'[4]Simulação Real Aberta'!AS59+'[4]Simulação Real Aberta'!AS60</f>
        <v>0</v>
      </c>
      <c r="AT24" s="106">
        <f>'[4]Simulação Real Aberta'!AT59+'[4]Simulação Real Aberta'!AT60</f>
        <v>0</v>
      </c>
      <c r="AU24" s="106">
        <f>'[4]Simulação Real Aberta'!AU59+'[4]Simulação Real Aberta'!AU60</f>
        <v>0</v>
      </c>
      <c r="AV24" s="106">
        <f>'[4]Simulação Real Aberta'!AV59+'[4]Simulação Real Aberta'!AV60</f>
        <v>0</v>
      </c>
      <c r="AW24" s="106">
        <f>'[4]Simulação Real Aberta'!AW59+'[4]Simulação Real Aberta'!AW60</f>
        <v>0</v>
      </c>
      <c r="AX24" s="106">
        <f>'[4]Simulação Real Aberta'!AX59+'[4]Simulação Real Aberta'!AX60</f>
        <v>0</v>
      </c>
      <c r="AY24" s="106">
        <f>'[4]Simulação Real Aberta'!AY59+'[4]Simulação Real Aberta'!AY60</f>
        <v>0</v>
      </c>
      <c r="AZ24" s="106">
        <f>'[4]Simulação Real Aberta'!AZ59+'[4]Simulação Real Aberta'!AZ60</f>
        <v>0</v>
      </c>
      <c r="BA24" s="106">
        <f>'[4]Simulação Real Aberta'!BA59+'[4]Simulação Real Aberta'!BA60</f>
        <v>0</v>
      </c>
      <c r="BB24" s="106">
        <f>'[4]Simulação Real Aberta'!BB59+'[4]Simulação Real Aberta'!BB60</f>
        <v>0</v>
      </c>
      <c r="BC24" s="106">
        <f>'[4]Simulação Real Aberta'!BC59+'[4]Simulação Real Aberta'!BC60</f>
        <v>0</v>
      </c>
      <c r="BD24" s="106">
        <f>'[4]Simulação Real Aberta'!BD59+'[4]Simulação Real Aberta'!BD60</f>
        <v>1314688.69</v>
      </c>
      <c r="BE24" s="106">
        <f>'[4]Simulação Real Aberta'!BE59+'[4]Simulação Real Aberta'!BE60</f>
        <v>0</v>
      </c>
      <c r="BF24" s="106">
        <f>'[4]Simulação Real Aberta'!BF59+'[4]Simulação Real Aberta'!BF60</f>
        <v>1314688.69</v>
      </c>
    </row>
    <row r="25" spans="1:58" ht="24" x14ac:dyDescent="0.25">
      <c r="A25" s="115" t="s">
        <v>204</v>
      </c>
      <c r="B25" s="105">
        <v>1328874.4099999999</v>
      </c>
      <c r="C25" s="105"/>
      <c r="D25" s="106">
        <f t="shared" si="9"/>
        <v>1328874.4099999999</v>
      </c>
      <c r="F25" s="106">
        <f>'[4]Simulação Real Aberta'!F61</f>
        <v>0</v>
      </c>
      <c r="G25" s="106">
        <f>'[4]Simulação Real Aberta'!G61</f>
        <v>0</v>
      </c>
      <c r="H25" s="106">
        <f>'[4]Simulação Real Aberta'!H61</f>
        <v>0</v>
      </c>
      <c r="I25" s="106">
        <f>'[4]Simulação Real Aberta'!I61</f>
        <v>0</v>
      </c>
      <c r="J25" s="106">
        <f>'[4]Simulação Real Aberta'!J61</f>
        <v>0</v>
      </c>
      <c r="K25" s="106">
        <f>'[4]Simulação Real Aberta'!K61</f>
        <v>0</v>
      </c>
      <c r="L25" s="106">
        <f>'[4]Simulação Real Aberta'!L61</f>
        <v>0</v>
      </c>
      <c r="M25" s="106">
        <f>'[4]Simulação Real Aberta'!M61</f>
        <v>0</v>
      </c>
      <c r="N25" s="106">
        <f>'[4]Simulação Real Aberta'!N61</f>
        <v>0</v>
      </c>
      <c r="O25" s="106">
        <f>'[4]Simulação Real Aberta'!O61</f>
        <v>0</v>
      </c>
      <c r="P25" s="106">
        <f>'[4]Simulação Real Aberta'!P61</f>
        <v>0</v>
      </c>
      <c r="Q25" s="106">
        <f>'[4]Simulação Real Aberta'!Q61</f>
        <v>0</v>
      </c>
      <c r="R25" s="106">
        <f>'[4]Simulação Real Aberta'!R61</f>
        <v>400000</v>
      </c>
      <c r="S25" s="106">
        <f>'[4]Simulação Real Aberta'!S61</f>
        <v>0</v>
      </c>
      <c r="T25" s="106">
        <f>'[4]Simulação Real Aberta'!T61</f>
        <v>450000</v>
      </c>
      <c r="U25" s="106">
        <f>'[4]Simulação Real Aberta'!U61</f>
        <v>0</v>
      </c>
      <c r="V25" s="106">
        <f>'[4]Simulação Real Aberta'!V61</f>
        <v>478874.40999999992</v>
      </c>
      <c r="W25" s="106">
        <f>'[4]Simulação Real Aberta'!W61</f>
        <v>0</v>
      </c>
      <c r="X25" s="106">
        <f>'[4]Simulação Real Aberta'!X61</f>
        <v>1328874.4099999999</v>
      </c>
      <c r="Y25" s="106">
        <f>'[4]Simulação Real Aberta'!Y61</f>
        <v>0</v>
      </c>
      <c r="Z25" s="106">
        <f>'[4]Simulação Real Aberta'!Z61</f>
        <v>0</v>
      </c>
      <c r="AA25" s="106">
        <f>'[4]Simulação Real Aberta'!AA61</f>
        <v>0</v>
      </c>
      <c r="AB25" s="106">
        <f>'[4]Simulação Real Aberta'!AB61</f>
        <v>0</v>
      </c>
      <c r="AC25" s="106">
        <f>'[4]Simulação Real Aberta'!AC61</f>
        <v>0</v>
      </c>
      <c r="AD25" s="106">
        <f>'[4]Simulação Real Aberta'!AD61</f>
        <v>0</v>
      </c>
      <c r="AE25" s="106">
        <f>'[4]Simulação Real Aberta'!AE61</f>
        <v>0</v>
      </c>
      <c r="AF25" s="106">
        <f>'[4]Simulação Real Aberta'!AF61</f>
        <v>0</v>
      </c>
      <c r="AG25" s="106">
        <f>'[4]Simulação Real Aberta'!AG61</f>
        <v>0</v>
      </c>
      <c r="AH25" s="106">
        <f>'[4]Simulação Real Aberta'!AH61</f>
        <v>0</v>
      </c>
      <c r="AI25" s="106">
        <f>'[4]Simulação Real Aberta'!AI61</f>
        <v>0</v>
      </c>
      <c r="AJ25" s="106">
        <f>'[4]Simulação Real Aberta'!AJ61</f>
        <v>0</v>
      </c>
      <c r="AK25" s="106">
        <f>'[4]Simulação Real Aberta'!AK61</f>
        <v>0</v>
      </c>
      <c r="AL25" s="106">
        <f>'[4]Simulação Real Aberta'!AL61</f>
        <v>0</v>
      </c>
      <c r="AM25" s="106">
        <f>'[4]Simulação Real Aberta'!AM61</f>
        <v>0</v>
      </c>
      <c r="AN25" s="106">
        <f>'[4]Simulação Real Aberta'!AN61</f>
        <v>0</v>
      </c>
      <c r="AO25" s="106">
        <f>'[4]Simulação Real Aberta'!AO61</f>
        <v>0</v>
      </c>
      <c r="AP25" s="106">
        <f>'[4]Simulação Real Aberta'!AP61</f>
        <v>0</v>
      </c>
      <c r="AQ25" s="106">
        <f>'[4]Simulação Real Aberta'!AQ61</f>
        <v>0</v>
      </c>
      <c r="AR25" s="106">
        <f>'[4]Simulação Real Aberta'!AR61</f>
        <v>0</v>
      </c>
      <c r="AS25" s="106">
        <f>'[4]Simulação Real Aberta'!AS61</f>
        <v>0</v>
      </c>
      <c r="AT25" s="106">
        <f>'[4]Simulação Real Aberta'!AT61</f>
        <v>0</v>
      </c>
      <c r="AU25" s="106">
        <f>'[4]Simulação Real Aberta'!AU61</f>
        <v>0</v>
      </c>
      <c r="AV25" s="106">
        <f>'[4]Simulação Real Aberta'!AV61</f>
        <v>0</v>
      </c>
      <c r="AW25" s="106">
        <f>'[4]Simulação Real Aberta'!AW61</f>
        <v>0</v>
      </c>
      <c r="AX25" s="106">
        <f>'[4]Simulação Real Aberta'!AX61</f>
        <v>0</v>
      </c>
      <c r="AY25" s="106">
        <f>'[4]Simulação Real Aberta'!AY61</f>
        <v>0</v>
      </c>
      <c r="AZ25" s="106">
        <f>'[4]Simulação Real Aberta'!AZ61</f>
        <v>0</v>
      </c>
      <c r="BA25" s="106">
        <f>'[4]Simulação Real Aberta'!BA61</f>
        <v>0</v>
      </c>
      <c r="BB25" s="106">
        <f>'[4]Simulação Real Aberta'!BB61</f>
        <v>0</v>
      </c>
      <c r="BC25" s="106">
        <f>'[4]Simulação Real Aberta'!BC61</f>
        <v>0</v>
      </c>
      <c r="BD25" s="106">
        <f>'[4]Simulação Real Aberta'!BD61</f>
        <v>1328874.4099999999</v>
      </c>
      <c r="BE25" s="106">
        <f>'[4]Simulação Real Aberta'!BE61</f>
        <v>0</v>
      </c>
      <c r="BF25" s="106">
        <f>'[4]Simulação Real Aberta'!BF61</f>
        <v>1328874.4099999999</v>
      </c>
    </row>
    <row r="26" spans="1:58" x14ac:dyDescent="0.25">
      <c r="A26" s="155" t="s">
        <v>136</v>
      </c>
      <c r="B26" s="117">
        <v>5697644.4699999997</v>
      </c>
      <c r="C26" s="119">
        <v>0</v>
      </c>
      <c r="D26" s="106">
        <f t="shared" si="9"/>
        <v>5697644.4699999997</v>
      </c>
      <c r="F26" s="106">
        <f>'[4]Simulação Real Aberta'!F62</f>
        <v>0</v>
      </c>
      <c r="G26" s="106">
        <f>'[4]Simulação Real Aberta'!G62</f>
        <v>0</v>
      </c>
      <c r="H26" s="106">
        <f>'[4]Simulação Real Aberta'!H62</f>
        <v>0</v>
      </c>
      <c r="I26" s="106">
        <f>'[4]Simulação Real Aberta'!I62</f>
        <v>0</v>
      </c>
      <c r="J26" s="106">
        <f>'[4]Simulação Real Aberta'!J62</f>
        <v>0</v>
      </c>
      <c r="K26" s="106">
        <f>'[4]Simulação Real Aberta'!K62</f>
        <v>0</v>
      </c>
      <c r="L26" s="106">
        <f>'[4]Simulação Real Aberta'!L62</f>
        <v>0</v>
      </c>
      <c r="M26" s="106">
        <f>'[4]Simulação Real Aberta'!M62</f>
        <v>0</v>
      </c>
      <c r="N26" s="106">
        <f>'[4]Simulação Real Aberta'!N62</f>
        <v>0</v>
      </c>
      <c r="O26" s="106">
        <f>'[4]Simulação Real Aberta'!O62</f>
        <v>0</v>
      </c>
      <c r="P26" s="106">
        <f>'[4]Simulação Real Aberta'!P62</f>
        <v>0</v>
      </c>
      <c r="Q26" s="106">
        <f>'[4]Simulação Real Aberta'!Q62</f>
        <v>0</v>
      </c>
      <c r="R26" s="106">
        <f>'[4]Simulação Real Aberta'!R62</f>
        <v>0</v>
      </c>
      <c r="S26" s="106">
        <f>'[4]Simulação Real Aberta'!S62</f>
        <v>0</v>
      </c>
      <c r="T26" s="106">
        <f>'[4]Simulação Real Aberta'!T62</f>
        <v>558000</v>
      </c>
      <c r="U26" s="106">
        <f>'[4]Simulação Real Aberta'!U62</f>
        <v>0</v>
      </c>
      <c r="V26" s="106">
        <f>'[4]Simulação Real Aberta'!V62</f>
        <v>800000</v>
      </c>
      <c r="W26" s="106">
        <f>'[4]Simulação Real Aberta'!W62</f>
        <v>0</v>
      </c>
      <c r="X26" s="106">
        <f>'[4]Simulação Real Aberta'!X62</f>
        <v>1358000</v>
      </c>
      <c r="Y26" s="106">
        <f>'[4]Simulação Real Aberta'!Y62</f>
        <v>0</v>
      </c>
      <c r="Z26" s="106">
        <f>'[4]Simulação Real Aberta'!Z62</f>
        <v>1200000</v>
      </c>
      <c r="AA26" s="106">
        <f>'[4]Simulação Real Aberta'!AA62</f>
        <v>0</v>
      </c>
      <c r="AB26" s="106">
        <f>'[4]Simulação Real Aberta'!AB62</f>
        <v>1200000</v>
      </c>
      <c r="AC26" s="106">
        <f>'[4]Simulação Real Aberta'!AC62</f>
        <v>0</v>
      </c>
      <c r="AD26" s="106">
        <f>'[4]Simulação Real Aberta'!AD62</f>
        <v>1200000</v>
      </c>
      <c r="AE26" s="106">
        <f>'[4]Simulação Real Aberta'!AE62</f>
        <v>0</v>
      </c>
      <c r="AF26" s="106">
        <f>'[4]Simulação Real Aberta'!AF62</f>
        <v>739644.46999999974</v>
      </c>
      <c r="AG26" s="106">
        <f>'[4]Simulação Real Aberta'!AG62</f>
        <v>0</v>
      </c>
      <c r="AH26" s="106">
        <f>'[4]Simulação Real Aberta'!AH62</f>
        <v>4339644.47</v>
      </c>
      <c r="AI26" s="106">
        <f>'[4]Simulação Real Aberta'!AI62</f>
        <v>0</v>
      </c>
      <c r="AJ26" s="106">
        <f>'[4]Simulação Real Aberta'!AJ62</f>
        <v>0</v>
      </c>
      <c r="AK26" s="106">
        <f>'[4]Simulação Real Aberta'!AK62</f>
        <v>0</v>
      </c>
      <c r="AL26" s="106">
        <f>'[4]Simulação Real Aberta'!AL62</f>
        <v>0</v>
      </c>
      <c r="AM26" s="106">
        <f>'[4]Simulação Real Aberta'!AM62</f>
        <v>0</v>
      </c>
      <c r="AN26" s="106">
        <f>'[4]Simulação Real Aberta'!AN62</f>
        <v>0</v>
      </c>
      <c r="AO26" s="106">
        <f>'[4]Simulação Real Aberta'!AO62</f>
        <v>0</v>
      </c>
      <c r="AP26" s="106">
        <f>'[4]Simulação Real Aberta'!AP62</f>
        <v>0</v>
      </c>
      <c r="AQ26" s="106">
        <f>'[4]Simulação Real Aberta'!AQ62</f>
        <v>0</v>
      </c>
      <c r="AR26" s="106">
        <f>'[4]Simulação Real Aberta'!AR62</f>
        <v>0</v>
      </c>
      <c r="AS26" s="106">
        <f>'[4]Simulação Real Aberta'!AS62</f>
        <v>0</v>
      </c>
      <c r="AT26" s="106">
        <f>'[4]Simulação Real Aberta'!AT62</f>
        <v>0</v>
      </c>
      <c r="AU26" s="106">
        <f>'[4]Simulação Real Aberta'!AU62</f>
        <v>0</v>
      </c>
      <c r="AV26" s="106">
        <f>'[4]Simulação Real Aberta'!AV62</f>
        <v>0</v>
      </c>
      <c r="AW26" s="106">
        <f>'[4]Simulação Real Aberta'!AW62</f>
        <v>0</v>
      </c>
      <c r="AX26" s="106">
        <f>'[4]Simulação Real Aberta'!AX62</f>
        <v>0</v>
      </c>
      <c r="AY26" s="106">
        <f>'[4]Simulação Real Aberta'!AY62</f>
        <v>0</v>
      </c>
      <c r="AZ26" s="106">
        <f>'[4]Simulação Real Aberta'!AZ62</f>
        <v>0</v>
      </c>
      <c r="BA26" s="106">
        <f>'[4]Simulação Real Aberta'!BA62</f>
        <v>0</v>
      </c>
      <c r="BB26" s="106">
        <f>'[4]Simulação Real Aberta'!BB62</f>
        <v>0</v>
      </c>
      <c r="BC26" s="106">
        <f>'[4]Simulação Real Aberta'!BC62</f>
        <v>0</v>
      </c>
      <c r="BD26" s="106">
        <f>'[4]Simulação Real Aberta'!BD62</f>
        <v>5697644.4699999997</v>
      </c>
      <c r="BE26" s="106">
        <f>'[4]Simulação Real Aberta'!BE62</f>
        <v>0</v>
      </c>
      <c r="BF26" s="106">
        <f>'[4]Simulação Real Aberta'!BF62</f>
        <v>5697644.4699999997</v>
      </c>
    </row>
    <row r="27" spans="1:58" x14ac:dyDescent="0.25">
      <c r="A27" s="155" t="s">
        <v>205</v>
      </c>
      <c r="B27" s="105">
        <v>0</v>
      </c>
      <c r="C27" s="112">
        <v>5418175</v>
      </c>
      <c r="D27" s="106">
        <f t="shared" si="9"/>
        <v>5418175</v>
      </c>
      <c r="F27" s="106">
        <f>'[4]Simulação Real Aberta'!F63+'[4]Simulação Real Aberta'!F64</f>
        <v>0</v>
      </c>
      <c r="G27" s="106">
        <f>'[4]Simulação Real Aberta'!G63+'[4]Simulação Real Aberta'!G64</f>
        <v>3240187</v>
      </c>
      <c r="H27" s="106">
        <f>'[4]Simulação Real Aberta'!H63+'[4]Simulação Real Aberta'!H64</f>
        <v>0</v>
      </c>
      <c r="I27" s="106">
        <f>'[4]Simulação Real Aberta'!I63+'[4]Simulação Real Aberta'!I64</f>
        <v>917799.98499999999</v>
      </c>
      <c r="J27" s="106">
        <f>'[4]Simulação Real Aberta'!J63+'[4]Simulação Real Aberta'!J64</f>
        <v>0</v>
      </c>
      <c r="K27" s="106">
        <f>'[4]Simulação Real Aberta'!K63+'[4]Simulação Real Aberta'!K64</f>
        <v>0</v>
      </c>
      <c r="L27" s="106">
        <f>'[4]Simulação Real Aberta'!L63+'[4]Simulação Real Aberta'!L64</f>
        <v>0</v>
      </c>
      <c r="M27" s="106">
        <f>'[4]Simulação Real Aberta'!M63+'[4]Simulação Real Aberta'!M64</f>
        <v>0</v>
      </c>
      <c r="N27" s="106">
        <f>'[4]Simulação Real Aberta'!N63+'[4]Simulação Real Aberta'!N64</f>
        <v>0</v>
      </c>
      <c r="O27" s="106">
        <f>'[4]Simulação Real Aberta'!O63+'[4]Simulação Real Aberta'!O64</f>
        <v>5418175</v>
      </c>
      <c r="P27" s="106">
        <f>'[4]Simulação Real Aberta'!P63+'[4]Simulação Real Aberta'!P64</f>
        <v>0</v>
      </c>
      <c r="Q27" s="106">
        <f>'[4]Simulação Real Aberta'!Q63+'[4]Simulação Real Aberta'!Q64</f>
        <v>0</v>
      </c>
      <c r="R27" s="106">
        <f>'[4]Simulação Real Aberta'!R63+'[4]Simulação Real Aberta'!R64</f>
        <v>0</v>
      </c>
      <c r="S27" s="106">
        <f>'[4]Simulação Real Aberta'!S63+'[4]Simulação Real Aberta'!S64</f>
        <v>0</v>
      </c>
      <c r="T27" s="106">
        <f>'[4]Simulação Real Aberta'!T63+'[4]Simulação Real Aberta'!T64</f>
        <v>0</v>
      </c>
      <c r="U27" s="106">
        <f>'[4]Simulação Real Aberta'!U63+'[4]Simulação Real Aberta'!U64</f>
        <v>0</v>
      </c>
      <c r="V27" s="106">
        <f>'[4]Simulação Real Aberta'!V63+'[4]Simulação Real Aberta'!V64</f>
        <v>0</v>
      </c>
      <c r="W27" s="106">
        <f>'[4]Simulação Real Aberta'!W63+'[4]Simulação Real Aberta'!W64</f>
        <v>0</v>
      </c>
      <c r="X27" s="106">
        <f>'[4]Simulação Real Aberta'!X63+'[4]Simulação Real Aberta'!X64</f>
        <v>0</v>
      </c>
      <c r="Y27" s="106">
        <f>'[4]Simulação Real Aberta'!Y63+'[4]Simulação Real Aberta'!Y64</f>
        <v>0</v>
      </c>
      <c r="Z27" s="106">
        <f>'[4]Simulação Real Aberta'!Z63+'[4]Simulação Real Aberta'!Z64</f>
        <v>0</v>
      </c>
      <c r="AA27" s="106">
        <f>'[4]Simulação Real Aberta'!AA63+'[4]Simulação Real Aberta'!AA64</f>
        <v>0</v>
      </c>
      <c r="AB27" s="106">
        <f>'[4]Simulação Real Aberta'!AB63+'[4]Simulação Real Aberta'!AB64</f>
        <v>0</v>
      </c>
      <c r="AC27" s="106">
        <f>'[4]Simulação Real Aberta'!AC63+'[4]Simulação Real Aberta'!AC64</f>
        <v>0</v>
      </c>
      <c r="AD27" s="106">
        <f>'[4]Simulação Real Aberta'!AD63+'[4]Simulação Real Aberta'!AD64</f>
        <v>0</v>
      </c>
      <c r="AE27" s="106">
        <f>'[4]Simulação Real Aberta'!AE63+'[4]Simulação Real Aberta'!AE64</f>
        <v>0</v>
      </c>
      <c r="AF27" s="106">
        <f>'[4]Simulação Real Aberta'!AF63+'[4]Simulação Real Aberta'!AF64</f>
        <v>0</v>
      </c>
      <c r="AG27" s="106">
        <f>'[4]Simulação Real Aberta'!AG63+'[4]Simulação Real Aberta'!AG64</f>
        <v>0</v>
      </c>
      <c r="AH27" s="106">
        <f>'[4]Simulação Real Aberta'!AH63+'[4]Simulação Real Aberta'!AH64</f>
        <v>0</v>
      </c>
      <c r="AI27" s="106">
        <f>'[4]Simulação Real Aberta'!AI63+'[4]Simulação Real Aberta'!AI64</f>
        <v>0</v>
      </c>
      <c r="AJ27" s="106">
        <f>'[4]Simulação Real Aberta'!AJ63+'[4]Simulação Real Aberta'!AJ64</f>
        <v>0</v>
      </c>
      <c r="AK27" s="106">
        <f>'[4]Simulação Real Aberta'!AK63+'[4]Simulação Real Aberta'!AK64</f>
        <v>0</v>
      </c>
      <c r="AL27" s="106">
        <f>'[4]Simulação Real Aberta'!AL63+'[4]Simulação Real Aberta'!AL64</f>
        <v>0</v>
      </c>
      <c r="AM27" s="106">
        <f>'[4]Simulação Real Aberta'!AM63+'[4]Simulação Real Aberta'!AM64</f>
        <v>0</v>
      </c>
      <c r="AN27" s="106">
        <f>'[4]Simulação Real Aberta'!AN63+'[4]Simulação Real Aberta'!AN64</f>
        <v>0</v>
      </c>
      <c r="AO27" s="106">
        <f>'[4]Simulação Real Aberta'!AO63+'[4]Simulação Real Aberta'!AO64</f>
        <v>0</v>
      </c>
      <c r="AP27" s="106">
        <f>'[4]Simulação Real Aberta'!AP63+'[4]Simulação Real Aberta'!AP64</f>
        <v>0</v>
      </c>
      <c r="AQ27" s="106">
        <f>'[4]Simulação Real Aberta'!AQ63+'[4]Simulação Real Aberta'!AQ64</f>
        <v>0</v>
      </c>
      <c r="AR27" s="106">
        <f>'[4]Simulação Real Aberta'!AR63+'[4]Simulação Real Aberta'!AR64</f>
        <v>0</v>
      </c>
      <c r="AS27" s="106">
        <f>'[4]Simulação Real Aberta'!AS63+'[4]Simulação Real Aberta'!AS64</f>
        <v>0</v>
      </c>
      <c r="AT27" s="106">
        <f>'[4]Simulação Real Aberta'!AT63+'[4]Simulação Real Aberta'!AT64</f>
        <v>0</v>
      </c>
      <c r="AU27" s="106">
        <f>'[4]Simulação Real Aberta'!AU63+'[4]Simulação Real Aberta'!AU64</f>
        <v>0</v>
      </c>
      <c r="AV27" s="106">
        <f>'[4]Simulação Real Aberta'!AV63+'[4]Simulação Real Aberta'!AV64</f>
        <v>0</v>
      </c>
      <c r="AW27" s="106">
        <f>'[4]Simulação Real Aberta'!AW63+'[4]Simulação Real Aberta'!AW64</f>
        <v>0</v>
      </c>
      <c r="AX27" s="106">
        <f>'[4]Simulação Real Aberta'!AX63+'[4]Simulação Real Aberta'!AX64</f>
        <v>0</v>
      </c>
      <c r="AY27" s="106">
        <f>'[4]Simulação Real Aberta'!AY63+'[4]Simulação Real Aberta'!AY64</f>
        <v>0</v>
      </c>
      <c r="AZ27" s="106">
        <f>'[4]Simulação Real Aberta'!AZ63+'[4]Simulação Real Aberta'!AZ64</f>
        <v>0</v>
      </c>
      <c r="BA27" s="106">
        <f>'[4]Simulação Real Aberta'!BA63+'[4]Simulação Real Aberta'!BA64</f>
        <v>0</v>
      </c>
      <c r="BB27" s="106">
        <f>'[4]Simulação Real Aberta'!BB63+'[4]Simulação Real Aberta'!BB64</f>
        <v>0</v>
      </c>
      <c r="BC27" s="106">
        <f>'[4]Simulação Real Aberta'!BC63+'[4]Simulação Real Aberta'!BC64</f>
        <v>0</v>
      </c>
      <c r="BD27" s="106">
        <f>'[4]Simulação Real Aberta'!BD63+'[4]Simulação Real Aberta'!BD64</f>
        <v>0</v>
      </c>
      <c r="BE27" s="106">
        <f>'[4]Simulação Real Aberta'!BE63+'[4]Simulação Real Aberta'!BE64</f>
        <v>5418175</v>
      </c>
      <c r="BF27" s="106">
        <f>'[4]Simulação Real Aberta'!BF63+'[4]Simulação Real Aberta'!BF64</f>
        <v>5418175</v>
      </c>
    </row>
    <row r="28" spans="1:58" x14ac:dyDescent="0.25">
      <c r="A28" s="100" t="s">
        <v>139</v>
      </c>
      <c r="B28" s="101">
        <f>B29+B30+B31+B32+B33+B34+B35+B36+B37</f>
        <v>21774000</v>
      </c>
      <c r="C28" s="101">
        <f>C29+C30+C31+C32+C33+C34+C35+C36+C37</f>
        <v>0</v>
      </c>
      <c r="D28" s="101">
        <f>B28+C28</f>
        <v>21774000</v>
      </c>
      <c r="F28" s="106">
        <f>SUM(F29:F37)</f>
        <v>0</v>
      </c>
      <c r="G28" s="106">
        <f t="shared" ref="G28:BF28" si="10">SUM(G29:G37)</f>
        <v>0</v>
      </c>
      <c r="H28" s="106">
        <f t="shared" si="10"/>
        <v>0</v>
      </c>
      <c r="I28" s="106">
        <f t="shared" si="10"/>
        <v>0</v>
      </c>
      <c r="J28" s="106">
        <f t="shared" si="10"/>
        <v>0</v>
      </c>
      <c r="K28" s="106">
        <f t="shared" si="10"/>
        <v>0</v>
      </c>
      <c r="L28" s="106">
        <f t="shared" si="10"/>
        <v>710000</v>
      </c>
      <c r="M28" s="106">
        <f t="shared" si="10"/>
        <v>0</v>
      </c>
      <c r="N28" s="106">
        <f t="shared" si="10"/>
        <v>710000</v>
      </c>
      <c r="O28" s="106">
        <f t="shared" si="10"/>
        <v>0</v>
      </c>
      <c r="P28" s="106">
        <f t="shared" si="10"/>
        <v>0</v>
      </c>
      <c r="Q28" s="106">
        <f t="shared" si="10"/>
        <v>0</v>
      </c>
      <c r="R28" s="106">
        <f t="shared" si="10"/>
        <v>0</v>
      </c>
      <c r="S28" s="106">
        <f t="shared" si="10"/>
        <v>0</v>
      </c>
      <c r="T28" s="106">
        <f t="shared" si="10"/>
        <v>2074400</v>
      </c>
      <c r="U28" s="106">
        <f t="shared" si="10"/>
        <v>0</v>
      </c>
      <c r="V28" s="106">
        <f t="shared" si="10"/>
        <v>3027180</v>
      </c>
      <c r="W28" s="106">
        <f t="shared" si="10"/>
        <v>0</v>
      </c>
      <c r="X28" s="106">
        <f t="shared" si="10"/>
        <v>5101580</v>
      </c>
      <c r="Y28" s="106">
        <f t="shared" si="10"/>
        <v>0</v>
      </c>
      <c r="Z28" s="106">
        <f t="shared" si="10"/>
        <v>2945960</v>
      </c>
      <c r="AA28" s="106">
        <f t="shared" si="10"/>
        <v>0</v>
      </c>
      <c r="AB28" s="106">
        <f t="shared" si="10"/>
        <v>2472850</v>
      </c>
      <c r="AC28" s="106">
        <f t="shared" si="10"/>
        <v>0</v>
      </c>
      <c r="AD28" s="106">
        <f t="shared" si="10"/>
        <v>2042460</v>
      </c>
      <c r="AE28" s="106">
        <f t="shared" si="10"/>
        <v>0</v>
      </c>
      <c r="AF28" s="106">
        <f t="shared" si="10"/>
        <v>1946570</v>
      </c>
      <c r="AG28" s="106">
        <f t="shared" si="10"/>
        <v>0</v>
      </c>
      <c r="AH28" s="106">
        <f t="shared" si="10"/>
        <v>9407840</v>
      </c>
      <c r="AI28" s="106">
        <f t="shared" si="10"/>
        <v>0</v>
      </c>
      <c r="AJ28" s="106">
        <f t="shared" si="10"/>
        <v>1750680</v>
      </c>
      <c r="AK28" s="106">
        <f t="shared" si="10"/>
        <v>0</v>
      </c>
      <c r="AL28" s="106">
        <f t="shared" si="10"/>
        <v>1995150</v>
      </c>
      <c r="AM28" s="106">
        <f t="shared" si="10"/>
        <v>0</v>
      </c>
      <c r="AN28" s="106">
        <f t="shared" si="10"/>
        <v>736250</v>
      </c>
      <c r="AO28" s="106">
        <f t="shared" si="10"/>
        <v>0</v>
      </c>
      <c r="AP28" s="106">
        <f t="shared" si="10"/>
        <v>836250</v>
      </c>
      <c r="AQ28" s="106">
        <f t="shared" si="10"/>
        <v>0</v>
      </c>
      <c r="AR28" s="106">
        <f t="shared" si="10"/>
        <v>5318330</v>
      </c>
      <c r="AS28" s="106">
        <f t="shared" si="10"/>
        <v>0</v>
      </c>
      <c r="AT28" s="106">
        <f t="shared" si="10"/>
        <v>836250</v>
      </c>
      <c r="AU28" s="106">
        <f t="shared" si="10"/>
        <v>0</v>
      </c>
      <c r="AV28" s="106">
        <f t="shared" si="10"/>
        <v>400000</v>
      </c>
      <c r="AW28" s="106">
        <f t="shared" si="10"/>
        <v>0</v>
      </c>
      <c r="AX28" s="106">
        <f t="shared" si="10"/>
        <v>0</v>
      </c>
      <c r="AY28" s="106">
        <f t="shared" si="10"/>
        <v>0</v>
      </c>
      <c r="AZ28" s="106">
        <f t="shared" si="10"/>
        <v>0</v>
      </c>
      <c r="BA28" s="106">
        <f t="shared" si="10"/>
        <v>0</v>
      </c>
      <c r="BB28" s="106">
        <f t="shared" si="10"/>
        <v>1236250</v>
      </c>
      <c r="BC28" s="106">
        <f t="shared" si="10"/>
        <v>0</v>
      </c>
      <c r="BD28" s="101">
        <f t="shared" si="10"/>
        <v>21774000</v>
      </c>
      <c r="BE28" s="101">
        <f t="shared" si="10"/>
        <v>0</v>
      </c>
      <c r="BF28" s="101">
        <f t="shared" si="10"/>
        <v>21774000</v>
      </c>
    </row>
    <row r="29" spans="1:58" x14ac:dyDescent="0.25">
      <c r="A29" s="158" t="s">
        <v>140</v>
      </c>
      <c r="B29" s="120">
        <v>3345000</v>
      </c>
      <c r="C29" s="119">
        <v>0</v>
      </c>
      <c r="D29" s="106">
        <f t="shared" ref="D29:D37" si="11">B29+C29</f>
        <v>3345000</v>
      </c>
      <c r="F29" s="106">
        <f>'[4]Simulação Real Aberta'!F66</f>
        <v>0</v>
      </c>
      <c r="G29" s="106">
        <f>'[4]Simulação Real Aberta'!G66</f>
        <v>0</v>
      </c>
      <c r="H29" s="106">
        <f>'[4]Simulação Real Aberta'!H66</f>
        <v>0</v>
      </c>
      <c r="I29" s="106">
        <f>'[4]Simulação Real Aberta'!I66</f>
        <v>0</v>
      </c>
      <c r="J29" s="106">
        <f>'[4]Simulação Real Aberta'!J66</f>
        <v>0</v>
      </c>
      <c r="K29" s="106">
        <f>'[4]Simulação Real Aberta'!K66</f>
        <v>0</v>
      </c>
      <c r="L29" s="106">
        <f>'[4]Simulação Real Aberta'!L66</f>
        <v>0</v>
      </c>
      <c r="M29" s="106">
        <f>'[4]Simulação Real Aberta'!M66</f>
        <v>0</v>
      </c>
      <c r="N29" s="106">
        <f>'[4]Simulação Real Aberta'!N66</f>
        <v>0</v>
      </c>
      <c r="O29" s="106">
        <f>'[4]Simulação Real Aberta'!O66</f>
        <v>0</v>
      </c>
      <c r="P29" s="106">
        <f>'[4]Simulação Real Aberta'!P66</f>
        <v>0</v>
      </c>
      <c r="Q29" s="106">
        <f>'[4]Simulação Real Aberta'!Q66</f>
        <v>0</v>
      </c>
      <c r="R29" s="106">
        <f>'[4]Simulação Real Aberta'!R66</f>
        <v>0</v>
      </c>
      <c r="S29" s="106">
        <f>'[4]Simulação Real Aberta'!S66</f>
        <v>0</v>
      </c>
      <c r="T29" s="106">
        <f>'[4]Simulação Real Aberta'!T66</f>
        <v>0</v>
      </c>
      <c r="U29" s="106">
        <f>'[4]Simulação Real Aberta'!U66</f>
        <v>0</v>
      </c>
      <c r="V29" s="106">
        <f>'[4]Simulação Real Aberta'!V66</f>
        <v>0</v>
      </c>
      <c r="W29" s="106">
        <f>'[4]Simulação Real Aberta'!W66</f>
        <v>0</v>
      </c>
      <c r="X29" s="106">
        <f>'[4]Simulação Real Aberta'!X66</f>
        <v>0</v>
      </c>
      <c r="Y29" s="106">
        <f>'[4]Simulação Real Aberta'!Y66</f>
        <v>0</v>
      </c>
      <c r="Z29" s="106">
        <f>'[4]Simulação Real Aberta'!Z66</f>
        <v>0</v>
      </c>
      <c r="AA29" s="106">
        <f>'[4]Simulação Real Aberta'!AA66</f>
        <v>0</v>
      </c>
      <c r="AB29" s="106">
        <f>'[4]Simulação Real Aberta'!AB66</f>
        <v>0</v>
      </c>
      <c r="AC29" s="106">
        <f>'[4]Simulação Real Aberta'!AC66</f>
        <v>0</v>
      </c>
      <c r="AD29" s="106">
        <f>'[4]Simulação Real Aberta'!AD66</f>
        <v>0</v>
      </c>
      <c r="AE29" s="106">
        <f>'[4]Simulação Real Aberta'!AE66</f>
        <v>0</v>
      </c>
      <c r="AF29" s="106">
        <f>'[4]Simulação Real Aberta'!AF66</f>
        <v>0</v>
      </c>
      <c r="AG29" s="106">
        <f>'[4]Simulação Real Aberta'!AG66</f>
        <v>0</v>
      </c>
      <c r="AH29" s="106">
        <f>'[4]Simulação Real Aberta'!AH66</f>
        <v>0</v>
      </c>
      <c r="AI29" s="106">
        <f>'[4]Simulação Real Aberta'!AI66</f>
        <v>0</v>
      </c>
      <c r="AJ29" s="106">
        <f>'[4]Simulação Real Aberta'!AJ66</f>
        <v>0</v>
      </c>
      <c r="AK29" s="106">
        <f>'[4]Simulação Real Aberta'!AK66</f>
        <v>0</v>
      </c>
      <c r="AL29" s="106">
        <f>'[4]Simulação Real Aberta'!AL66</f>
        <v>536250</v>
      </c>
      <c r="AM29" s="106">
        <f>'[4]Simulação Real Aberta'!AM66</f>
        <v>0</v>
      </c>
      <c r="AN29" s="106">
        <f>'[4]Simulação Real Aberta'!AN66</f>
        <v>736250</v>
      </c>
      <c r="AO29" s="106">
        <f>'[4]Simulação Real Aberta'!AO66</f>
        <v>0</v>
      </c>
      <c r="AP29" s="106">
        <f>'[4]Simulação Real Aberta'!AP66</f>
        <v>836250</v>
      </c>
      <c r="AQ29" s="106">
        <f>'[4]Simulação Real Aberta'!AQ66</f>
        <v>0</v>
      </c>
      <c r="AR29" s="106">
        <f>'[4]Simulação Real Aberta'!AR66</f>
        <v>2108750</v>
      </c>
      <c r="AS29" s="106">
        <f>'[4]Simulação Real Aberta'!AS66</f>
        <v>0</v>
      </c>
      <c r="AT29" s="106">
        <f>'[4]Simulação Real Aberta'!AT66</f>
        <v>836250</v>
      </c>
      <c r="AU29" s="106">
        <f>'[4]Simulação Real Aberta'!AU66</f>
        <v>0</v>
      </c>
      <c r="AV29" s="106">
        <f>'[4]Simulação Real Aberta'!AV66</f>
        <v>400000</v>
      </c>
      <c r="AW29" s="106">
        <f>'[4]Simulação Real Aberta'!AW66</f>
        <v>0</v>
      </c>
      <c r="AX29" s="106">
        <f>'[4]Simulação Real Aberta'!AX66</f>
        <v>0</v>
      </c>
      <c r="AY29" s="106">
        <f>'[4]Simulação Real Aberta'!AY66</f>
        <v>0</v>
      </c>
      <c r="AZ29" s="106">
        <f>'[4]Simulação Real Aberta'!AZ66</f>
        <v>0</v>
      </c>
      <c r="BA29" s="106">
        <f>'[4]Simulação Real Aberta'!BA66</f>
        <v>0</v>
      </c>
      <c r="BB29" s="106">
        <f>'[4]Simulação Real Aberta'!BB66</f>
        <v>1236250</v>
      </c>
      <c r="BC29" s="106">
        <f>'[4]Simulação Real Aberta'!BC66</f>
        <v>0</v>
      </c>
      <c r="BD29" s="106">
        <f>'[4]Simulação Real Aberta'!BD66</f>
        <v>3345000</v>
      </c>
      <c r="BE29" s="106">
        <f>'[4]Simulação Real Aberta'!BE66</f>
        <v>0</v>
      </c>
      <c r="BF29" s="106">
        <f>'[4]Simulação Real Aberta'!BF66</f>
        <v>3345000</v>
      </c>
    </row>
    <row r="30" spans="1:58" x14ac:dyDescent="0.25">
      <c r="A30" s="159" t="s">
        <v>141</v>
      </c>
      <c r="B30" s="106">
        <v>13589000</v>
      </c>
      <c r="C30" s="106">
        <v>0</v>
      </c>
      <c r="D30" s="106">
        <f t="shared" si="11"/>
        <v>13589000</v>
      </c>
      <c r="F30" s="106">
        <f>'[4]Simulação Real Aberta'!F67</f>
        <v>0</v>
      </c>
      <c r="G30" s="106">
        <f>'[4]Simulação Real Aberta'!G67</f>
        <v>0</v>
      </c>
      <c r="H30" s="106">
        <f>'[4]Simulação Real Aberta'!H67</f>
        <v>0</v>
      </c>
      <c r="I30" s="106">
        <f>'[4]Simulação Real Aberta'!I67</f>
        <v>0</v>
      </c>
      <c r="J30" s="106">
        <f>'[4]Simulação Real Aberta'!J67</f>
        <v>0</v>
      </c>
      <c r="K30" s="106">
        <f>'[4]Simulação Real Aberta'!K67</f>
        <v>0</v>
      </c>
      <c r="L30" s="106">
        <f>'[4]Simulação Real Aberta'!L67</f>
        <v>0</v>
      </c>
      <c r="M30" s="106">
        <f>'[4]Simulação Real Aberta'!M67</f>
        <v>0</v>
      </c>
      <c r="N30" s="106">
        <f>'[4]Simulação Real Aberta'!N67</f>
        <v>0</v>
      </c>
      <c r="O30" s="106">
        <f>'[4]Simulação Real Aberta'!O67</f>
        <v>0</v>
      </c>
      <c r="P30" s="106">
        <f>'[4]Simulação Real Aberta'!P67</f>
        <v>0</v>
      </c>
      <c r="Q30" s="106">
        <f>'[4]Simulação Real Aberta'!Q67</f>
        <v>0</v>
      </c>
      <c r="R30" s="106">
        <f>'[4]Simulação Real Aberta'!R67</f>
        <v>0</v>
      </c>
      <c r="S30" s="106">
        <f>'[4]Simulação Real Aberta'!S67</f>
        <v>0</v>
      </c>
      <c r="T30" s="106">
        <f>'[4]Simulação Real Aberta'!T67</f>
        <v>958900</v>
      </c>
      <c r="U30" s="106">
        <f>'[4]Simulação Real Aberta'!U67</f>
        <v>0</v>
      </c>
      <c r="V30" s="106">
        <f>'[4]Simulação Real Aberta'!V67</f>
        <v>1350680</v>
      </c>
      <c r="W30" s="106">
        <f>'[4]Simulação Real Aberta'!W67</f>
        <v>0</v>
      </c>
      <c r="X30" s="106">
        <f>'[4]Simulação Real Aberta'!X67</f>
        <v>2309580</v>
      </c>
      <c r="Y30" s="106">
        <f>'[4]Simulação Real Aberta'!Y67</f>
        <v>0</v>
      </c>
      <c r="Z30" s="106">
        <f>'[4]Simulação Real Aberta'!Z67</f>
        <v>1942460</v>
      </c>
      <c r="AA30" s="106">
        <f>'[4]Simulação Real Aberta'!AA67</f>
        <v>0</v>
      </c>
      <c r="AB30" s="106">
        <f>'[4]Simulação Real Aberta'!AB67</f>
        <v>2138350</v>
      </c>
      <c r="AC30" s="106">
        <f>'[4]Simulação Real Aberta'!AC67</f>
        <v>0</v>
      </c>
      <c r="AD30" s="106">
        <f>'[4]Simulação Real Aberta'!AD67</f>
        <v>2042460</v>
      </c>
      <c r="AE30" s="106">
        <f>'[4]Simulação Real Aberta'!AE67</f>
        <v>0</v>
      </c>
      <c r="AF30" s="106">
        <f>'[4]Simulação Real Aberta'!AF67</f>
        <v>1946570</v>
      </c>
      <c r="AG30" s="106">
        <f>'[4]Simulação Real Aberta'!AG67</f>
        <v>0</v>
      </c>
      <c r="AH30" s="106">
        <f>'[4]Simulação Real Aberta'!AH67</f>
        <v>8069840</v>
      </c>
      <c r="AI30" s="106">
        <f>'[4]Simulação Real Aberta'!AI67</f>
        <v>0</v>
      </c>
      <c r="AJ30" s="106">
        <f>'[4]Simulação Real Aberta'!AJ67</f>
        <v>1750680</v>
      </c>
      <c r="AK30" s="106">
        <f>'[4]Simulação Real Aberta'!AK67</f>
        <v>0</v>
      </c>
      <c r="AL30" s="106">
        <f>'[4]Simulação Real Aberta'!AL67</f>
        <v>1458900</v>
      </c>
      <c r="AM30" s="106">
        <f>'[4]Simulação Real Aberta'!AM67</f>
        <v>0</v>
      </c>
      <c r="AN30" s="106">
        <f>'[4]Simulação Real Aberta'!AN67</f>
        <v>0</v>
      </c>
      <c r="AO30" s="106">
        <f>'[4]Simulação Real Aberta'!AO67</f>
        <v>0</v>
      </c>
      <c r="AP30" s="106">
        <f>'[4]Simulação Real Aberta'!AP67</f>
        <v>0</v>
      </c>
      <c r="AQ30" s="106">
        <f>'[4]Simulação Real Aberta'!AQ67</f>
        <v>0</v>
      </c>
      <c r="AR30" s="106">
        <f>'[4]Simulação Real Aberta'!AR67</f>
        <v>3209580</v>
      </c>
      <c r="AS30" s="106">
        <f>'[4]Simulação Real Aberta'!AS67</f>
        <v>0</v>
      </c>
      <c r="AT30" s="106">
        <f>'[4]Simulação Real Aberta'!AT67</f>
        <v>0</v>
      </c>
      <c r="AU30" s="106">
        <f>'[4]Simulação Real Aberta'!AU67</f>
        <v>0</v>
      </c>
      <c r="AV30" s="106">
        <f>'[4]Simulação Real Aberta'!AV67</f>
        <v>0</v>
      </c>
      <c r="AW30" s="106">
        <f>'[4]Simulação Real Aberta'!AW67</f>
        <v>0</v>
      </c>
      <c r="AX30" s="106">
        <f>'[4]Simulação Real Aberta'!AX67</f>
        <v>0</v>
      </c>
      <c r="AY30" s="106">
        <f>'[4]Simulação Real Aberta'!AY67</f>
        <v>0</v>
      </c>
      <c r="AZ30" s="106">
        <f>'[4]Simulação Real Aberta'!AZ67</f>
        <v>0</v>
      </c>
      <c r="BA30" s="106">
        <f>'[4]Simulação Real Aberta'!BA67</f>
        <v>0</v>
      </c>
      <c r="BB30" s="106">
        <f>'[4]Simulação Real Aberta'!BB67</f>
        <v>0</v>
      </c>
      <c r="BC30" s="106">
        <f>'[4]Simulação Real Aberta'!BC67</f>
        <v>0</v>
      </c>
      <c r="BD30" s="106">
        <f>'[4]Simulação Real Aberta'!BD67</f>
        <v>13589000</v>
      </c>
      <c r="BE30" s="106">
        <f>'[4]Simulação Real Aberta'!BE67</f>
        <v>0</v>
      </c>
      <c r="BF30" s="106">
        <f>'[4]Simulação Real Aberta'!BF67</f>
        <v>13589000</v>
      </c>
    </row>
    <row r="31" spans="1:58" x14ac:dyDescent="0.25">
      <c r="A31" s="161" t="s">
        <v>145</v>
      </c>
      <c r="B31" s="119">
        <v>350000</v>
      </c>
      <c r="C31" s="119"/>
      <c r="D31" s="106">
        <f t="shared" si="11"/>
        <v>350000</v>
      </c>
      <c r="F31" s="106">
        <f>'[4]Simulação Real Aberta'!F71</f>
        <v>0</v>
      </c>
      <c r="G31" s="106">
        <f>'[4]Simulação Real Aberta'!G71</f>
        <v>0</v>
      </c>
      <c r="H31" s="106">
        <f>'[4]Simulação Real Aberta'!H71</f>
        <v>0</v>
      </c>
      <c r="I31" s="106">
        <f>'[4]Simulação Real Aberta'!I71</f>
        <v>0</v>
      </c>
      <c r="J31" s="106">
        <f>'[4]Simulação Real Aberta'!J71</f>
        <v>0</v>
      </c>
      <c r="K31" s="106">
        <f>'[4]Simulação Real Aberta'!K71</f>
        <v>0</v>
      </c>
      <c r="L31" s="106">
        <f>'[4]Simulação Real Aberta'!L71</f>
        <v>350000</v>
      </c>
      <c r="M31" s="106">
        <f>'[4]Simulação Real Aberta'!M71</f>
        <v>0</v>
      </c>
      <c r="N31" s="106">
        <f>'[4]Simulação Real Aberta'!N71</f>
        <v>350000</v>
      </c>
      <c r="O31" s="106">
        <f>'[4]Simulação Real Aberta'!O71</f>
        <v>0</v>
      </c>
      <c r="P31" s="106">
        <f>'[4]Simulação Real Aberta'!P71</f>
        <v>0</v>
      </c>
      <c r="Q31" s="106">
        <f>'[4]Simulação Real Aberta'!Q71</f>
        <v>0</v>
      </c>
      <c r="R31" s="106">
        <f>'[4]Simulação Real Aberta'!R71</f>
        <v>0</v>
      </c>
      <c r="S31" s="106">
        <f>'[4]Simulação Real Aberta'!S71</f>
        <v>0</v>
      </c>
      <c r="T31" s="106">
        <f>'[4]Simulação Real Aberta'!T71</f>
        <v>0</v>
      </c>
      <c r="U31" s="106">
        <f>'[4]Simulação Real Aberta'!U71</f>
        <v>0</v>
      </c>
      <c r="V31" s="106">
        <f>'[4]Simulação Real Aberta'!V71</f>
        <v>0</v>
      </c>
      <c r="W31" s="106">
        <f>'[4]Simulação Real Aberta'!W71</f>
        <v>0</v>
      </c>
      <c r="X31" s="106">
        <f>'[4]Simulação Real Aberta'!X71</f>
        <v>0</v>
      </c>
      <c r="Y31" s="106">
        <f>'[4]Simulação Real Aberta'!Y71</f>
        <v>0</v>
      </c>
      <c r="Z31" s="106">
        <f>'[4]Simulação Real Aberta'!Z71</f>
        <v>0</v>
      </c>
      <c r="AA31" s="106">
        <f>'[4]Simulação Real Aberta'!AA71</f>
        <v>0</v>
      </c>
      <c r="AB31" s="106">
        <f>'[4]Simulação Real Aberta'!AB71</f>
        <v>0</v>
      </c>
      <c r="AC31" s="106">
        <f>'[4]Simulação Real Aberta'!AC71</f>
        <v>0</v>
      </c>
      <c r="AD31" s="106">
        <f>'[4]Simulação Real Aberta'!AD71</f>
        <v>0</v>
      </c>
      <c r="AE31" s="106">
        <f>'[4]Simulação Real Aberta'!AE71</f>
        <v>0</v>
      </c>
      <c r="AF31" s="106">
        <f>'[4]Simulação Real Aberta'!AF71</f>
        <v>0</v>
      </c>
      <c r="AG31" s="106">
        <f>'[4]Simulação Real Aberta'!AG71</f>
        <v>0</v>
      </c>
      <c r="AH31" s="106">
        <f>'[4]Simulação Real Aberta'!AH71</f>
        <v>0</v>
      </c>
      <c r="AI31" s="106">
        <f>'[4]Simulação Real Aberta'!AI71</f>
        <v>0</v>
      </c>
      <c r="AJ31" s="106">
        <f>'[4]Simulação Real Aberta'!AJ71</f>
        <v>0</v>
      </c>
      <c r="AK31" s="106">
        <f>'[4]Simulação Real Aberta'!AK71</f>
        <v>0</v>
      </c>
      <c r="AL31" s="106">
        <f>'[4]Simulação Real Aberta'!AL71</f>
        <v>0</v>
      </c>
      <c r="AM31" s="106">
        <f>'[4]Simulação Real Aberta'!AM71</f>
        <v>0</v>
      </c>
      <c r="AN31" s="106">
        <f>'[4]Simulação Real Aberta'!AN71</f>
        <v>0</v>
      </c>
      <c r="AO31" s="106">
        <f>'[4]Simulação Real Aberta'!AO71</f>
        <v>0</v>
      </c>
      <c r="AP31" s="106">
        <f>'[4]Simulação Real Aberta'!AP71</f>
        <v>0</v>
      </c>
      <c r="AQ31" s="106">
        <f>'[4]Simulação Real Aberta'!AQ71</f>
        <v>0</v>
      </c>
      <c r="AR31" s="106">
        <f>'[4]Simulação Real Aberta'!AR71</f>
        <v>0</v>
      </c>
      <c r="AS31" s="106">
        <f>'[4]Simulação Real Aberta'!AS71</f>
        <v>0</v>
      </c>
      <c r="AT31" s="106">
        <f>'[4]Simulação Real Aberta'!AT71</f>
        <v>0</v>
      </c>
      <c r="AU31" s="106">
        <f>'[4]Simulação Real Aberta'!AU71</f>
        <v>0</v>
      </c>
      <c r="AV31" s="106">
        <f>'[4]Simulação Real Aberta'!AV71</f>
        <v>0</v>
      </c>
      <c r="AW31" s="106">
        <f>'[4]Simulação Real Aberta'!AW71</f>
        <v>0</v>
      </c>
      <c r="AX31" s="106">
        <f>'[4]Simulação Real Aberta'!AX71</f>
        <v>0</v>
      </c>
      <c r="AY31" s="106">
        <f>'[4]Simulação Real Aberta'!AY71</f>
        <v>0</v>
      </c>
      <c r="AZ31" s="106">
        <f>'[4]Simulação Real Aberta'!AZ71</f>
        <v>0</v>
      </c>
      <c r="BA31" s="106">
        <f>'[4]Simulação Real Aberta'!BA71</f>
        <v>0</v>
      </c>
      <c r="BB31" s="106">
        <f>'[4]Simulação Real Aberta'!BB71</f>
        <v>0</v>
      </c>
      <c r="BC31" s="106">
        <f>'[4]Simulação Real Aberta'!BC71</f>
        <v>0</v>
      </c>
      <c r="BD31" s="106">
        <f>'[4]Simulação Real Aberta'!BD71</f>
        <v>350000</v>
      </c>
      <c r="BE31" s="106">
        <f>'[4]Simulação Real Aberta'!BE71</f>
        <v>0</v>
      </c>
      <c r="BF31" s="106">
        <f>'[4]Simulação Real Aberta'!BF71</f>
        <v>350000</v>
      </c>
    </row>
    <row r="32" spans="1:58" x14ac:dyDescent="0.25">
      <c r="A32" s="110" t="s">
        <v>146</v>
      </c>
      <c r="B32" s="105">
        <v>200000</v>
      </c>
      <c r="C32" s="105"/>
      <c r="D32" s="106">
        <f t="shared" si="11"/>
        <v>200000</v>
      </c>
      <c r="F32" s="106">
        <f>'[4]Simulação Real Aberta'!F72</f>
        <v>0</v>
      </c>
      <c r="G32" s="106">
        <f>'[4]Simulação Real Aberta'!G72</f>
        <v>0</v>
      </c>
      <c r="H32" s="106">
        <f>'[4]Simulação Real Aberta'!H72</f>
        <v>0</v>
      </c>
      <c r="I32" s="106">
        <f>'[4]Simulação Real Aberta'!I72</f>
        <v>0</v>
      </c>
      <c r="J32" s="106">
        <f>'[4]Simulação Real Aberta'!J72</f>
        <v>0</v>
      </c>
      <c r="K32" s="106">
        <f>'[4]Simulação Real Aberta'!K72</f>
        <v>0</v>
      </c>
      <c r="L32" s="106">
        <f>'[4]Simulação Real Aberta'!L72</f>
        <v>0</v>
      </c>
      <c r="M32" s="106">
        <f>'[4]Simulação Real Aberta'!M72</f>
        <v>0</v>
      </c>
      <c r="N32" s="106">
        <f>'[4]Simulação Real Aberta'!N72</f>
        <v>0</v>
      </c>
      <c r="O32" s="106">
        <f>'[4]Simulação Real Aberta'!O72</f>
        <v>0</v>
      </c>
      <c r="P32" s="106">
        <f>'[4]Simulação Real Aberta'!P72</f>
        <v>0</v>
      </c>
      <c r="Q32" s="106">
        <f>'[4]Simulação Real Aberta'!Q72</f>
        <v>0</v>
      </c>
      <c r="R32" s="106">
        <f>'[4]Simulação Real Aberta'!R72</f>
        <v>0</v>
      </c>
      <c r="S32" s="106">
        <f>'[4]Simulação Real Aberta'!S72</f>
        <v>0</v>
      </c>
      <c r="T32" s="106">
        <f>'[4]Simulação Real Aberta'!T72</f>
        <v>100000</v>
      </c>
      <c r="U32" s="106">
        <f>'[4]Simulação Real Aberta'!U72</f>
        <v>0</v>
      </c>
      <c r="V32" s="106">
        <f>'[4]Simulação Real Aberta'!V72</f>
        <v>100000</v>
      </c>
      <c r="W32" s="106">
        <f>'[4]Simulação Real Aberta'!W72</f>
        <v>0</v>
      </c>
      <c r="X32" s="106">
        <f>'[4]Simulação Real Aberta'!X72</f>
        <v>200000</v>
      </c>
      <c r="Y32" s="106">
        <f>'[4]Simulação Real Aberta'!Y72</f>
        <v>0</v>
      </c>
      <c r="Z32" s="106">
        <f>'[4]Simulação Real Aberta'!Z72</f>
        <v>0</v>
      </c>
      <c r="AA32" s="106">
        <f>'[4]Simulação Real Aberta'!AA72</f>
        <v>0</v>
      </c>
      <c r="AB32" s="106">
        <f>'[4]Simulação Real Aberta'!AB72</f>
        <v>0</v>
      </c>
      <c r="AC32" s="106">
        <f>'[4]Simulação Real Aberta'!AC72</f>
        <v>0</v>
      </c>
      <c r="AD32" s="106">
        <f>'[4]Simulação Real Aberta'!AD72</f>
        <v>0</v>
      </c>
      <c r="AE32" s="106">
        <f>'[4]Simulação Real Aberta'!AE72</f>
        <v>0</v>
      </c>
      <c r="AF32" s="106">
        <f>'[4]Simulação Real Aberta'!AF72</f>
        <v>0</v>
      </c>
      <c r="AG32" s="106">
        <f>'[4]Simulação Real Aberta'!AG72</f>
        <v>0</v>
      </c>
      <c r="AH32" s="106">
        <f>'[4]Simulação Real Aberta'!AH72</f>
        <v>0</v>
      </c>
      <c r="AI32" s="106">
        <f>'[4]Simulação Real Aberta'!AI72</f>
        <v>0</v>
      </c>
      <c r="AJ32" s="106">
        <f>'[4]Simulação Real Aberta'!AJ72</f>
        <v>0</v>
      </c>
      <c r="AK32" s="106">
        <f>'[4]Simulação Real Aberta'!AK72</f>
        <v>0</v>
      </c>
      <c r="AL32" s="106">
        <f>'[4]Simulação Real Aberta'!AL72</f>
        <v>0</v>
      </c>
      <c r="AM32" s="106">
        <f>'[4]Simulação Real Aberta'!AM72</f>
        <v>0</v>
      </c>
      <c r="AN32" s="106">
        <f>'[4]Simulação Real Aberta'!AN72</f>
        <v>0</v>
      </c>
      <c r="AO32" s="106">
        <f>'[4]Simulação Real Aberta'!AO72</f>
        <v>0</v>
      </c>
      <c r="AP32" s="106">
        <f>'[4]Simulação Real Aberta'!AP72</f>
        <v>0</v>
      </c>
      <c r="AQ32" s="106">
        <f>'[4]Simulação Real Aberta'!AQ72</f>
        <v>0</v>
      </c>
      <c r="AR32" s="106">
        <f>'[4]Simulação Real Aberta'!AR72</f>
        <v>0</v>
      </c>
      <c r="AS32" s="106">
        <f>'[4]Simulação Real Aberta'!AS72</f>
        <v>0</v>
      </c>
      <c r="AT32" s="106">
        <f>'[4]Simulação Real Aberta'!AT72</f>
        <v>0</v>
      </c>
      <c r="AU32" s="106">
        <f>'[4]Simulação Real Aberta'!AU72</f>
        <v>0</v>
      </c>
      <c r="AV32" s="106">
        <f>'[4]Simulação Real Aberta'!AV72</f>
        <v>0</v>
      </c>
      <c r="AW32" s="106">
        <f>'[4]Simulação Real Aberta'!AW72</f>
        <v>0</v>
      </c>
      <c r="AX32" s="106">
        <f>'[4]Simulação Real Aberta'!AX72</f>
        <v>0</v>
      </c>
      <c r="AY32" s="106">
        <f>'[4]Simulação Real Aberta'!AY72</f>
        <v>0</v>
      </c>
      <c r="AZ32" s="106">
        <f>'[4]Simulação Real Aberta'!AZ72</f>
        <v>0</v>
      </c>
      <c r="BA32" s="106">
        <f>'[4]Simulação Real Aberta'!BA72</f>
        <v>0</v>
      </c>
      <c r="BB32" s="106">
        <f>'[4]Simulação Real Aberta'!BB72</f>
        <v>0</v>
      </c>
      <c r="BC32" s="106">
        <f>'[4]Simulação Real Aberta'!BC72</f>
        <v>0</v>
      </c>
      <c r="BD32" s="106">
        <f>'[4]Simulação Real Aberta'!BD72</f>
        <v>200000</v>
      </c>
      <c r="BE32" s="106">
        <f>'[4]Simulação Real Aberta'!BE72</f>
        <v>0</v>
      </c>
      <c r="BF32" s="106">
        <f>'[4]Simulação Real Aberta'!BF72</f>
        <v>200000</v>
      </c>
    </row>
    <row r="33" spans="1:58" ht="24" x14ac:dyDescent="0.25">
      <c r="A33" s="161" t="s">
        <v>147</v>
      </c>
      <c r="B33" s="119">
        <v>360000</v>
      </c>
      <c r="C33" s="119"/>
      <c r="D33" s="106">
        <f t="shared" si="11"/>
        <v>360000</v>
      </c>
      <c r="F33" s="106">
        <f>'[4]Simulação Real Aberta'!F73</f>
        <v>0</v>
      </c>
      <c r="G33" s="106">
        <f>'[4]Simulação Real Aberta'!G73</f>
        <v>0</v>
      </c>
      <c r="H33" s="106">
        <f>'[4]Simulação Real Aberta'!H73</f>
        <v>0</v>
      </c>
      <c r="I33" s="106">
        <f>'[4]Simulação Real Aberta'!I73</f>
        <v>0</v>
      </c>
      <c r="J33" s="106">
        <f>'[4]Simulação Real Aberta'!J73</f>
        <v>0</v>
      </c>
      <c r="K33" s="106">
        <f>'[4]Simulação Real Aberta'!K73</f>
        <v>0</v>
      </c>
      <c r="L33" s="106">
        <f>'[4]Simulação Real Aberta'!L73</f>
        <v>360000</v>
      </c>
      <c r="M33" s="106">
        <f>'[4]Simulação Real Aberta'!M73</f>
        <v>0</v>
      </c>
      <c r="N33" s="106">
        <f>'[4]Simulação Real Aberta'!N73</f>
        <v>360000</v>
      </c>
      <c r="O33" s="106">
        <f>'[4]Simulação Real Aberta'!O73</f>
        <v>0</v>
      </c>
      <c r="P33" s="106">
        <f>'[4]Simulação Real Aberta'!P73</f>
        <v>0</v>
      </c>
      <c r="Q33" s="106">
        <f>'[4]Simulação Real Aberta'!Q73</f>
        <v>0</v>
      </c>
      <c r="R33" s="106">
        <f>'[4]Simulação Real Aberta'!R73</f>
        <v>0</v>
      </c>
      <c r="S33" s="106">
        <f>'[4]Simulação Real Aberta'!S73</f>
        <v>0</v>
      </c>
      <c r="T33" s="106">
        <f>'[4]Simulação Real Aberta'!T73</f>
        <v>0</v>
      </c>
      <c r="U33" s="106">
        <f>'[4]Simulação Real Aberta'!U73</f>
        <v>0</v>
      </c>
      <c r="V33" s="106">
        <f>'[4]Simulação Real Aberta'!V73</f>
        <v>0</v>
      </c>
      <c r="W33" s="106">
        <f>'[4]Simulação Real Aberta'!W73</f>
        <v>0</v>
      </c>
      <c r="X33" s="106">
        <f>'[4]Simulação Real Aberta'!X73</f>
        <v>0</v>
      </c>
      <c r="Y33" s="106">
        <f>'[4]Simulação Real Aberta'!Y73</f>
        <v>0</v>
      </c>
      <c r="Z33" s="106">
        <f>'[4]Simulação Real Aberta'!Z73</f>
        <v>0</v>
      </c>
      <c r="AA33" s="106">
        <f>'[4]Simulação Real Aberta'!AA73</f>
        <v>0</v>
      </c>
      <c r="AB33" s="106">
        <f>'[4]Simulação Real Aberta'!AB73</f>
        <v>0</v>
      </c>
      <c r="AC33" s="106">
        <f>'[4]Simulação Real Aberta'!AC73</f>
        <v>0</v>
      </c>
      <c r="AD33" s="106">
        <f>'[4]Simulação Real Aberta'!AD73</f>
        <v>0</v>
      </c>
      <c r="AE33" s="106">
        <f>'[4]Simulação Real Aberta'!AE73</f>
        <v>0</v>
      </c>
      <c r="AF33" s="106">
        <f>'[4]Simulação Real Aberta'!AF73</f>
        <v>0</v>
      </c>
      <c r="AG33" s="106">
        <f>'[4]Simulação Real Aberta'!AG73</f>
        <v>0</v>
      </c>
      <c r="AH33" s="106">
        <f>'[4]Simulação Real Aberta'!AH73</f>
        <v>0</v>
      </c>
      <c r="AI33" s="106">
        <f>'[4]Simulação Real Aberta'!AI73</f>
        <v>0</v>
      </c>
      <c r="AJ33" s="106">
        <f>'[4]Simulação Real Aberta'!AJ73</f>
        <v>0</v>
      </c>
      <c r="AK33" s="106">
        <f>'[4]Simulação Real Aberta'!AK73</f>
        <v>0</v>
      </c>
      <c r="AL33" s="106">
        <f>'[4]Simulação Real Aberta'!AL73</f>
        <v>0</v>
      </c>
      <c r="AM33" s="106">
        <f>'[4]Simulação Real Aberta'!AM73</f>
        <v>0</v>
      </c>
      <c r="AN33" s="106">
        <f>'[4]Simulação Real Aberta'!AN73</f>
        <v>0</v>
      </c>
      <c r="AO33" s="106">
        <f>'[4]Simulação Real Aberta'!AO73</f>
        <v>0</v>
      </c>
      <c r="AP33" s="106">
        <f>'[4]Simulação Real Aberta'!AP73</f>
        <v>0</v>
      </c>
      <c r="AQ33" s="106">
        <f>'[4]Simulação Real Aberta'!AQ73</f>
        <v>0</v>
      </c>
      <c r="AR33" s="106">
        <f>'[4]Simulação Real Aberta'!AR73</f>
        <v>0</v>
      </c>
      <c r="AS33" s="106">
        <f>'[4]Simulação Real Aberta'!AS73</f>
        <v>0</v>
      </c>
      <c r="AT33" s="106">
        <f>'[4]Simulação Real Aberta'!AT73</f>
        <v>0</v>
      </c>
      <c r="AU33" s="106">
        <f>'[4]Simulação Real Aberta'!AU73</f>
        <v>0</v>
      </c>
      <c r="AV33" s="106">
        <f>'[4]Simulação Real Aberta'!AV73</f>
        <v>0</v>
      </c>
      <c r="AW33" s="106">
        <f>'[4]Simulação Real Aberta'!AW73</f>
        <v>0</v>
      </c>
      <c r="AX33" s="106">
        <f>'[4]Simulação Real Aberta'!AX73</f>
        <v>0</v>
      </c>
      <c r="AY33" s="106">
        <f>'[4]Simulação Real Aberta'!AY73</f>
        <v>0</v>
      </c>
      <c r="AZ33" s="106">
        <f>'[4]Simulação Real Aberta'!AZ73</f>
        <v>0</v>
      </c>
      <c r="BA33" s="106">
        <f>'[4]Simulação Real Aberta'!BA73</f>
        <v>0</v>
      </c>
      <c r="BB33" s="106">
        <f>'[4]Simulação Real Aberta'!BB73</f>
        <v>0</v>
      </c>
      <c r="BC33" s="106">
        <f>'[4]Simulação Real Aberta'!BC73</f>
        <v>0</v>
      </c>
      <c r="BD33" s="106">
        <f>'[4]Simulação Real Aberta'!BD73</f>
        <v>360000</v>
      </c>
      <c r="BE33" s="106">
        <f>'[4]Simulação Real Aberta'!BE73</f>
        <v>0</v>
      </c>
      <c r="BF33" s="106">
        <f>'[4]Simulação Real Aberta'!BF73</f>
        <v>360000</v>
      </c>
    </row>
    <row r="34" spans="1:58" x14ac:dyDescent="0.25">
      <c r="A34" s="162" t="s">
        <v>148</v>
      </c>
      <c r="B34" s="106">
        <v>350000</v>
      </c>
      <c r="C34" s="106"/>
      <c r="D34" s="106">
        <f t="shared" si="11"/>
        <v>350000</v>
      </c>
      <c r="F34" s="106">
        <f>'[4]Simulação Real Aberta'!F74</f>
        <v>0</v>
      </c>
      <c r="G34" s="106">
        <f>'[4]Simulação Real Aberta'!G74</f>
        <v>0</v>
      </c>
      <c r="H34" s="106">
        <f>'[4]Simulação Real Aberta'!H74</f>
        <v>0</v>
      </c>
      <c r="I34" s="106">
        <f>'[4]Simulação Real Aberta'!I74</f>
        <v>0</v>
      </c>
      <c r="J34" s="106">
        <f>'[4]Simulação Real Aberta'!J74</f>
        <v>0</v>
      </c>
      <c r="K34" s="106">
        <f>'[4]Simulação Real Aberta'!K74</f>
        <v>0</v>
      </c>
      <c r="L34" s="106">
        <f>'[4]Simulação Real Aberta'!L74</f>
        <v>0</v>
      </c>
      <c r="M34" s="106">
        <f>'[4]Simulação Real Aberta'!M74</f>
        <v>0</v>
      </c>
      <c r="N34" s="106">
        <f>'[4]Simulação Real Aberta'!N74</f>
        <v>0</v>
      </c>
      <c r="O34" s="106">
        <f>'[4]Simulação Real Aberta'!O74</f>
        <v>0</v>
      </c>
      <c r="P34" s="106">
        <f>'[4]Simulação Real Aberta'!P74</f>
        <v>0</v>
      </c>
      <c r="Q34" s="106">
        <f>'[4]Simulação Real Aberta'!Q74</f>
        <v>0</v>
      </c>
      <c r="R34" s="106">
        <f>'[4]Simulação Real Aberta'!R74</f>
        <v>0</v>
      </c>
      <c r="S34" s="106">
        <f>'[4]Simulação Real Aberta'!S74</f>
        <v>0</v>
      </c>
      <c r="T34" s="106">
        <f>'[4]Simulação Real Aberta'!T74</f>
        <v>0</v>
      </c>
      <c r="U34" s="106">
        <f>'[4]Simulação Real Aberta'!U74</f>
        <v>0</v>
      </c>
      <c r="V34" s="106">
        <f>'[4]Simulação Real Aberta'!V74</f>
        <v>350000</v>
      </c>
      <c r="W34" s="106">
        <f>'[4]Simulação Real Aberta'!W74</f>
        <v>0</v>
      </c>
      <c r="X34" s="106">
        <f>'[4]Simulação Real Aberta'!X74</f>
        <v>350000</v>
      </c>
      <c r="Y34" s="106">
        <f>'[4]Simulação Real Aberta'!Y74</f>
        <v>0</v>
      </c>
      <c r="Z34" s="106">
        <f>'[4]Simulação Real Aberta'!Z74</f>
        <v>0</v>
      </c>
      <c r="AA34" s="106">
        <f>'[4]Simulação Real Aberta'!AA74</f>
        <v>0</v>
      </c>
      <c r="AB34" s="106">
        <f>'[4]Simulação Real Aberta'!AB74</f>
        <v>0</v>
      </c>
      <c r="AC34" s="106">
        <f>'[4]Simulação Real Aberta'!AC74</f>
        <v>0</v>
      </c>
      <c r="AD34" s="106">
        <f>'[4]Simulação Real Aberta'!AD74</f>
        <v>0</v>
      </c>
      <c r="AE34" s="106">
        <f>'[4]Simulação Real Aberta'!AE74</f>
        <v>0</v>
      </c>
      <c r="AF34" s="106">
        <f>'[4]Simulação Real Aberta'!AF74</f>
        <v>0</v>
      </c>
      <c r="AG34" s="106">
        <f>'[4]Simulação Real Aberta'!AG74</f>
        <v>0</v>
      </c>
      <c r="AH34" s="106">
        <f>'[4]Simulação Real Aberta'!AH74</f>
        <v>0</v>
      </c>
      <c r="AI34" s="106">
        <f>'[4]Simulação Real Aberta'!AI74</f>
        <v>0</v>
      </c>
      <c r="AJ34" s="106">
        <f>'[4]Simulação Real Aberta'!AJ74</f>
        <v>0</v>
      </c>
      <c r="AK34" s="106">
        <f>'[4]Simulação Real Aberta'!AK74</f>
        <v>0</v>
      </c>
      <c r="AL34" s="106">
        <f>'[4]Simulação Real Aberta'!AL74</f>
        <v>0</v>
      </c>
      <c r="AM34" s="106">
        <f>'[4]Simulação Real Aberta'!AM74</f>
        <v>0</v>
      </c>
      <c r="AN34" s="106">
        <f>'[4]Simulação Real Aberta'!AN74</f>
        <v>0</v>
      </c>
      <c r="AO34" s="106">
        <f>'[4]Simulação Real Aberta'!AO74</f>
        <v>0</v>
      </c>
      <c r="AP34" s="106">
        <f>'[4]Simulação Real Aberta'!AP74</f>
        <v>0</v>
      </c>
      <c r="AQ34" s="106">
        <f>'[4]Simulação Real Aberta'!AQ74</f>
        <v>0</v>
      </c>
      <c r="AR34" s="106">
        <f>'[4]Simulação Real Aberta'!AR74</f>
        <v>0</v>
      </c>
      <c r="AS34" s="106">
        <f>'[4]Simulação Real Aberta'!AS74</f>
        <v>0</v>
      </c>
      <c r="AT34" s="106">
        <f>'[4]Simulação Real Aberta'!AT74</f>
        <v>0</v>
      </c>
      <c r="AU34" s="106">
        <f>'[4]Simulação Real Aberta'!AU74</f>
        <v>0</v>
      </c>
      <c r="AV34" s="106">
        <f>'[4]Simulação Real Aberta'!AV74</f>
        <v>0</v>
      </c>
      <c r="AW34" s="106">
        <f>'[4]Simulação Real Aberta'!AW74</f>
        <v>0</v>
      </c>
      <c r="AX34" s="106">
        <f>'[4]Simulação Real Aberta'!AX74</f>
        <v>0</v>
      </c>
      <c r="AY34" s="106">
        <f>'[4]Simulação Real Aberta'!AY74</f>
        <v>0</v>
      </c>
      <c r="AZ34" s="106">
        <f>'[4]Simulação Real Aberta'!AZ74</f>
        <v>0</v>
      </c>
      <c r="BA34" s="106">
        <f>'[4]Simulação Real Aberta'!BA74</f>
        <v>0</v>
      </c>
      <c r="BB34" s="106">
        <f>'[4]Simulação Real Aberta'!BB74</f>
        <v>0</v>
      </c>
      <c r="BC34" s="106">
        <f>'[4]Simulação Real Aberta'!BC74</f>
        <v>0</v>
      </c>
      <c r="BD34" s="106">
        <f>'[4]Simulação Real Aberta'!BD74</f>
        <v>350000</v>
      </c>
      <c r="BE34" s="106">
        <f>'[4]Simulação Real Aberta'!BE74</f>
        <v>0</v>
      </c>
      <c r="BF34" s="106">
        <f>'[4]Simulação Real Aberta'!BF74</f>
        <v>350000</v>
      </c>
    </row>
    <row r="35" spans="1:58" x14ac:dyDescent="0.25">
      <c r="A35" s="104" t="s">
        <v>149</v>
      </c>
      <c r="B35" s="120">
        <v>0</v>
      </c>
      <c r="C35" s="120">
        <v>0</v>
      </c>
      <c r="D35" s="106">
        <f t="shared" si="11"/>
        <v>0</v>
      </c>
      <c r="F35" s="106">
        <f>'[4]Simulação Real Aberta'!F75</f>
        <v>0</v>
      </c>
      <c r="G35" s="106">
        <f>'[4]Simulação Real Aberta'!G75</f>
        <v>0</v>
      </c>
      <c r="H35" s="106">
        <f>'[4]Simulação Real Aberta'!H75</f>
        <v>0</v>
      </c>
      <c r="I35" s="106">
        <f>'[4]Simulação Real Aberta'!I75</f>
        <v>0</v>
      </c>
      <c r="J35" s="106">
        <f>'[4]Simulação Real Aberta'!J75</f>
        <v>0</v>
      </c>
      <c r="K35" s="106">
        <f>'[4]Simulação Real Aberta'!K75</f>
        <v>0</v>
      </c>
      <c r="L35" s="106">
        <f>'[4]Simulação Real Aberta'!L75</f>
        <v>0</v>
      </c>
      <c r="M35" s="106">
        <f>'[4]Simulação Real Aberta'!M75</f>
        <v>0</v>
      </c>
      <c r="N35" s="106">
        <f>'[4]Simulação Real Aberta'!N75</f>
        <v>0</v>
      </c>
      <c r="O35" s="106">
        <f>'[4]Simulação Real Aberta'!O75</f>
        <v>0</v>
      </c>
      <c r="P35" s="106">
        <f>'[4]Simulação Real Aberta'!P75</f>
        <v>0</v>
      </c>
      <c r="Q35" s="106">
        <f>'[4]Simulação Real Aberta'!Q75</f>
        <v>0</v>
      </c>
      <c r="R35" s="106">
        <f>'[4]Simulação Real Aberta'!R75</f>
        <v>0</v>
      </c>
      <c r="S35" s="106">
        <f>'[4]Simulação Real Aberta'!S75</f>
        <v>0</v>
      </c>
      <c r="T35" s="106">
        <f>'[4]Simulação Real Aberta'!T75</f>
        <v>0</v>
      </c>
      <c r="U35" s="106">
        <f>'[4]Simulação Real Aberta'!U75</f>
        <v>0</v>
      </c>
      <c r="V35" s="106">
        <f>'[4]Simulação Real Aberta'!V75</f>
        <v>0</v>
      </c>
      <c r="W35" s="106">
        <f>'[4]Simulação Real Aberta'!W75</f>
        <v>0</v>
      </c>
      <c r="X35" s="106">
        <f>'[4]Simulação Real Aberta'!X75</f>
        <v>0</v>
      </c>
      <c r="Y35" s="106">
        <f>'[4]Simulação Real Aberta'!Y75</f>
        <v>0</v>
      </c>
      <c r="Z35" s="106">
        <f>'[4]Simulação Real Aberta'!Z75</f>
        <v>0</v>
      </c>
      <c r="AA35" s="106">
        <f>'[4]Simulação Real Aberta'!AA75</f>
        <v>0</v>
      </c>
      <c r="AB35" s="106">
        <f>'[4]Simulação Real Aberta'!AB75</f>
        <v>0</v>
      </c>
      <c r="AC35" s="106">
        <f>'[4]Simulação Real Aberta'!AC75</f>
        <v>0</v>
      </c>
      <c r="AD35" s="106">
        <f>'[4]Simulação Real Aberta'!AD75</f>
        <v>0</v>
      </c>
      <c r="AE35" s="106">
        <f>'[4]Simulação Real Aberta'!AE75</f>
        <v>0</v>
      </c>
      <c r="AF35" s="106">
        <f>'[4]Simulação Real Aberta'!AF75</f>
        <v>0</v>
      </c>
      <c r="AG35" s="106">
        <f>'[4]Simulação Real Aberta'!AG75</f>
        <v>0</v>
      </c>
      <c r="AH35" s="106">
        <f>'[4]Simulação Real Aberta'!AH75</f>
        <v>0</v>
      </c>
      <c r="AI35" s="106">
        <f>'[4]Simulação Real Aberta'!AI75</f>
        <v>0</v>
      </c>
      <c r="AJ35" s="106">
        <f>'[4]Simulação Real Aberta'!AJ75</f>
        <v>0</v>
      </c>
      <c r="AK35" s="106">
        <f>'[4]Simulação Real Aberta'!AK75</f>
        <v>0</v>
      </c>
      <c r="AL35" s="106">
        <f>'[4]Simulação Real Aberta'!AL75</f>
        <v>0</v>
      </c>
      <c r="AM35" s="106">
        <f>'[4]Simulação Real Aberta'!AM75</f>
        <v>0</v>
      </c>
      <c r="AN35" s="106">
        <f>'[4]Simulação Real Aberta'!AN75</f>
        <v>0</v>
      </c>
      <c r="AO35" s="106">
        <f>'[4]Simulação Real Aberta'!AO75</f>
        <v>0</v>
      </c>
      <c r="AP35" s="106">
        <f>'[4]Simulação Real Aberta'!AP75</f>
        <v>0</v>
      </c>
      <c r="AQ35" s="106">
        <f>'[4]Simulação Real Aberta'!AQ75</f>
        <v>0</v>
      </c>
      <c r="AR35" s="106">
        <f>'[4]Simulação Real Aberta'!AR75</f>
        <v>0</v>
      </c>
      <c r="AS35" s="106">
        <f>'[4]Simulação Real Aberta'!AS75</f>
        <v>0</v>
      </c>
      <c r="AT35" s="106">
        <f>'[4]Simulação Real Aberta'!AT75</f>
        <v>0</v>
      </c>
      <c r="AU35" s="106">
        <f>'[4]Simulação Real Aberta'!AU75</f>
        <v>0</v>
      </c>
      <c r="AV35" s="106">
        <f>'[4]Simulação Real Aberta'!AV75</f>
        <v>0</v>
      </c>
      <c r="AW35" s="106">
        <f>'[4]Simulação Real Aberta'!AW75</f>
        <v>0</v>
      </c>
      <c r="AX35" s="106">
        <f>'[4]Simulação Real Aberta'!AX75</f>
        <v>0</v>
      </c>
      <c r="AY35" s="106">
        <f>'[4]Simulação Real Aberta'!AY75</f>
        <v>0</v>
      </c>
      <c r="AZ35" s="106">
        <f>'[4]Simulação Real Aberta'!AZ75</f>
        <v>0</v>
      </c>
      <c r="BA35" s="106">
        <f>'[4]Simulação Real Aberta'!BA75</f>
        <v>0</v>
      </c>
      <c r="BB35" s="106">
        <f>'[4]Simulação Real Aberta'!BB75</f>
        <v>0</v>
      </c>
      <c r="BC35" s="106">
        <f>'[4]Simulação Real Aberta'!BC75</f>
        <v>0</v>
      </c>
      <c r="BD35" s="106">
        <f>'[4]Simulação Real Aberta'!BD75</f>
        <v>0</v>
      </c>
      <c r="BE35" s="106">
        <f>'[4]Simulação Real Aberta'!BE75</f>
        <v>0</v>
      </c>
      <c r="BF35" s="106">
        <f>'[4]Simulação Real Aberta'!BF75</f>
        <v>0</v>
      </c>
    </row>
    <row r="36" spans="1:58" ht="24" x14ac:dyDescent="0.25">
      <c r="A36" s="163" t="s">
        <v>150</v>
      </c>
      <c r="B36" s="120">
        <v>1350000</v>
      </c>
      <c r="C36" s="120">
        <v>0</v>
      </c>
      <c r="D36" s="106">
        <f t="shared" si="11"/>
        <v>1350000</v>
      </c>
      <c r="F36" s="106">
        <f>'[4]Simulação Real Aberta'!F76</f>
        <v>0</v>
      </c>
      <c r="G36" s="106">
        <f>'[4]Simulação Real Aberta'!G76</f>
        <v>0</v>
      </c>
      <c r="H36" s="106">
        <f>'[4]Simulação Real Aberta'!H76</f>
        <v>0</v>
      </c>
      <c r="I36" s="106">
        <f>'[4]Simulação Real Aberta'!I76</f>
        <v>0</v>
      </c>
      <c r="J36" s="106">
        <f>'[4]Simulação Real Aberta'!J76</f>
        <v>0</v>
      </c>
      <c r="K36" s="106">
        <f>'[4]Simulação Real Aberta'!K76</f>
        <v>0</v>
      </c>
      <c r="L36" s="106">
        <f>'[4]Simulação Real Aberta'!L76</f>
        <v>0</v>
      </c>
      <c r="M36" s="106">
        <f>'[4]Simulação Real Aberta'!M76</f>
        <v>0</v>
      </c>
      <c r="N36" s="106">
        <f>'[4]Simulação Real Aberta'!N76</f>
        <v>0</v>
      </c>
      <c r="O36" s="106">
        <f>'[4]Simulação Real Aberta'!O76</f>
        <v>0</v>
      </c>
      <c r="P36" s="106">
        <f>'[4]Simulação Real Aberta'!P76</f>
        <v>0</v>
      </c>
      <c r="Q36" s="106">
        <f>'[4]Simulação Real Aberta'!Q76</f>
        <v>0</v>
      </c>
      <c r="R36" s="106">
        <f>'[4]Simulação Real Aberta'!R76</f>
        <v>0</v>
      </c>
      <c r="S36" s="106">
        <f>'[4]Simulação Real Aberta'!S76</f>
        <v>0</v>
      </c>
      <c r="T36" s="106">
        <f>'[4]Simulação Real Aberta'!T76</f>
        <v>346500</v>
      </c>
      <c r="U36" s="106">
        <f>'[4]Simulação Real Aberta'!U76</f>
        <v>0</v>
      </c>
      <c r="V36" s="106">
        <f>'[4]Simulação Real Aberta'!V76</f>
        <v>334500</v>
      </c>
      <c r="W36" s="106">
        <f>'[4]Simulação Real Aberta'!W76</f>
        <v>0</v>
      </c>
      <c r="X36" s="106">
        <f>'[4]Simulação Real Aberta'!X76</f>
        <v>681000</v>
      </c>
      <c r="Y36" s="106">
        <f>'[4]Simulação Real Aberta'!Y76</f>
        <v>0</v>
      </c>
      <c r="Z36" s="106">
        <f>'[4]Simulação Real Aberta'!Z76</f>
        <v>334500</v>
      </c>
      <c r="AA36" s="106">
        <f>'[4]Simulação Real Aberta'!AA76</f>
        <v>0</v>
      </c>
      <c r="AB36" s="106">
        <f>'[4]Simulação Real Aberta'!AB76</f>
        <v>334500</v>
      </c>
      <c r="AC36" s="106">
        <f>'[4]Simulação Real Aberta'!AC76</f>
        <v>0</v>
      </c>
      <c r="AD36" s="106">
        <f>'[4]Simulação Real Aberta'!AD76</f>
        <v>0</v>
      </c>
      <c r="AE36" s="106">
        <f>'[4]Simulação Real Aberta'!AE76</f>
        <v>0</v>
      </c>
      <c r="AF36" s="106">
        <f>'[4]Simulação Real Aberta'!AF76</f>
        <v>0</v>
      </c>
      <c r="AG36" s="106">
        <f>'[4]Simulação Real Aberta'!AG76</f>
        <v>0</v>
      </c>
      <c r="AH36" s="106">
        <f>'[4]Simulação Real Aberta'!AH76</f>
        <v>669000</v>
      </c>
      <c r="AI36" s="106">
        <f>'[4]Simulação Real Aberta'!AI76</f>
        <v>0</v>
      </c>
      <c r="AJ36" s="106">
        <f>'[4]Simulação Real Aberta'!AJ76</f>
        <v>0</v>
      </c>
      <c r="AK36" s="106">
        <f>'[4]Simulação Real Aberta'!AK76</f>
        <v>0</v>
      </c>
      <c r="AL36" s="106">
        <f>'[4]Simulação Real Aberta'!AL76</f>
        <v>0</v>
      </c>
      <c r="AM36" s="106">
        <f>'[4]Simulação Real Aberta'!AM76</f>
        <v>0</v>
      </c>
      <c r="AN36" s="106">
        <f>'[4]Simulação Real Aberta'!AN76</f>
        <v>0</v>
      </c>
      <c r="AO36" s="106">
        <f>'[4]Simulação Real Aberta'!AO76</f>
        <v>0</v>
      </c>
      <c r="AP36" s="106">
        <f>'[4]Simulação Real Aberta'!AP76</f>
        <v>0</v>
      </c>
      <c r="AQ36" s="106">
        <f>'[4]Simulação Real Aberta'!AQ76</f>
        <v>0</v>
      </c>
      <c r="AR36" s="106">
        <f>'[4]Simulação Real Aberta'!AR76</f>
        <v>0</v>
      </c>
      <c r="AS36" s="106">
        <f>'[4]Simulação Real Aberta'!AS76</f>
        <v>0</v>
      </c>
      <c r="AT36" s="106">
        <f>'[4]Simulação Real Aberta'!AT76</f>
        <v>0</v>
      </c>
      <c r="AU36" s="106">
        <f>'[4]Simulação Real Aberta'!AU76</f>
        <v>0</v>
      </c>
      <c r="AV36" s="106">
        <f>'[4]Simulação Real Aberta'!AV76</f>
        <v>0</v>
      </c>
      <c r="AW36" s="106">
        <f>'[4]Simulação Real Aberta'!AW76</f>
        <v>0</v>
      </c>
      <c r="AX36" s="106">
        <f>'[4]Simulação Real Aberta'!AX76</f>
        <v>0</v>
      </c>
      <c r="AY36" s="106">
        <f>'[4]Simulação Real Aberta'!AY76</f>
        <v>0</v>
      </c>
      <c r="AZ36" s="106">
        <f>'[4]Simulação Real Aberta'!AZ76</f>
        <v>0</v>
      </c>
      <c r="BA36" s="106">
        <f>'[4]Simulação Real Aberta'!BA76</f>
        <v>0</v>
      </c>
      <c r="BB36" s="106">
        <f>'[4]Simulação Real Aberta'!BB76</f>
        <v>0</v>
      </c>
      <c r="BC36" s="106">
        <f>'[4]Simulação Real Aberta'!BC76</f>
        <v>0</v>
      </c>
      <c r="BD36" s="106">
        <f>'[4]Simulação Real Aberta'!BD76</f>
        <v>1350000</v>
      </c>
      <c r="BE36" s="106">
        <f>'[4]Simulação Real Aberta'!BE76</f>
        <v>0</v>
      </c>
      <c r="BF36" s="106">
        <f>'[4]Simulação Real Aberta'!BF76</f>
        <v>1350000</v>
      </c>
    </row>
    <row r="37" spans="1:58" ht="24" x14ac:dyDescent="0.25">
      <c r="A37" s="162" t="s">
        <v>151</v>
      </c>
      <c r="B37" s="106">
        <v>2230000</v>
      </c>
      <c r="C37" s="106">
        <v>0</v>
      </c>
      <c r="D37" s="106">
        <f t="shared" si="11"/>
        <v>2230000</v>
      </c>
      <c r="F37" s="106">
        <f>'[4]Simulação Real Aberta'!F77</f>
        <v>0</v>
      </c>
      <c r="G37" s="106">
        <f>'[4]Simulação Real Aberta'!G77</f>
        <v>0</v>
      </c>
      <c r="H37" s="106">
        <f>'[4]Simulação Real Aberta'!H77</f>
        <v>0</v>
      </c>
      <c r="I37" s="106">
        <f>'[4]Simulação Real Aberta'!I77</f>
        <v>0</v>
      </c>
      <c r="J37" s="106">
        <f>'[4]Simulação Real Aberta'!J77</f>
        <v>0</v>
      </c>
      <c r="K37" s="106">
        <f>'[4]Simulação Real Aberta'!K77</f>
        <v>0</v>
      </c>
      <c r="L37" s="106">
        <f>'[4]Simulação Real Aberta'!L77</f>
        <v>0</v>
      </c>
      <c r="M37" s="106">
        <f>'[4]Simulação Real Aberta'!M77</f>
        <v>0</v>
      </c>
      <c r="N37" s="106">
        <f>'[4]Simulação Real Aberta'!N77</f>
        <v>0</v>
      </c>
      <c r="O37" s="106">
        <f>'[4]Simulação Real Aberta'!O77</f>
        <v>0</v>
      </c>
      <c r="P37" s="106">
        <f>'[4]Simulação Real Aberta'!P77</f>
        <v>0</v>
      </c>
      <c r="Q37" s="106">
        <f>'[4]Simulação Real Aberta'!Q77</f>
        <v>0</v>
      </c>
      <c r="R37" s="106">
        <f>'[4]Simulação Real Aberta'!R77</f>
        <v>0</v>
      </c>
      <c r="S37" s="106">
        <f>'[4]Simulação Real Aberta'!S77</f>
        <v>0</v>
      </c>
      <c r="T37" s="106">
        <f>'[4]Simulação Real Aberta'!T77</f>
        <v>669000</v>
      </c>
      <c r="U37" s="106">
        <f>'[4]Simulação Real Aberta'!U77</f>
        <v>0</v>
      </c>
      <c r="V37" s="106">
        <f>'[4]Simulação Real Aberta'!V77</f>
        <v>892000</v>
      </c>
      <c r="W37" s="106">
        <f>'[4]Simulação Real Aberta'!W77</f>
        <v>0</v>
      </c>
      <c r="X37" s="106">
        <f>'[4]Simulação Real Aberta'!X77</f>
        <v>1561000</v>
      </c>
      <c r="Y37" s="106">
        <f>'[4]Simulação Real Aberta'!Y77</f>
        <v>0</v>
      </c>
      <c r="Z37" s="106">
        <f>'[4]Simulação Real Aberta'!Z77</f>
        <v>669000</v>
      </c>
      <c r="AA37" s="106">
        <f>'[4]Simulação Real Aberta'!AA77</f>
        <v>0</v>
      </c>
      <c r="AB37" s="106">
        <f>'[4]Simulação Real Aberta'!AB77</f>
        <v>0</v>
      </c>
      <c r="AC37" s="106">
        <f>'[4]Simulação Real Aberta'!AC77</f>
        <v>0</v>
      </c>
      <c r="AD37" s="106">
        <f>'[4]Simulação Real Aberta'!AD77</f>
        <v>0</v>
      </c>
      <c r="AE37" s="106">
        <f>'[4]Simulação Real Aberta'!AE77</f>
        <v>0</v>
      </c>
      <c r="AF37" s="106">
        <f>'[4]Simulação Real Aberta'!AF77</f>
        <v>0</v>
      </c>
      <c r="AG37" s="106">
        <f>'[4]Simulação Real Aberta'!AG77</f>
        <v>0</v>
      </c>
      <c r="AH37" s="106">
        <f>'[4]Simulação Real Aberta'!AH77</f>
        <v>669000</v>
      </c>
      <c r="AI37" s="106">
        <f>'[4]Simulação Real Aberta'!AI77</f>
        <v>0</v>
      </c>
      <c r="AJ37" s="106">
        <f>'[4]Simulação Real Aberta'!AJ77</f>
        <v>0</v>
      </c>
      <c r="AK37" s="106">
        <f>'[4]Simulação Real Aberta'!AK77</f>
        <v>0</v>
      </c>
      <c r="AL37" s="106">
        <f>'[4]Simulação Real Aberta'!AL77</f>
        <v>0</v>
      </c>
      <c r="AM37" s="106">
        <f>'[4]Simulação Real Aberta'!AM77</f>
        <v>0</v>
      </c>
      <c r="AN37" s="106">
        <f>'[4]Simulação Real Aberta'!AN77</f>
        <v>0</v>
      </c>
      <c r="AO37" s="106">
        <f>'[4]Simulação Real Aberta'!AO77</f>
        <v>0</v>
      </c>
      <c r="AP37" s="106">
        <f>'[4]Simulação Real Aberta'!AP77</f>
        <v>0</v>
      </c>
      <c r="AQ37" s="106">
        <f>'[4]Simulação Real Aberta'!AQ77</f>
        <v>0</v>
      </c>
      <c r="AR37" s="106">
        <f>'[4]Simulação Real Aberta'!AR77</f>
        <v>0</v>
      </c>
      <c r="AS37" s="106">
        <f>'[4]Simulação Real Aberta'!AS77</f>
        <v>0</v>
      </c>
      <c r="AT37" s="106">
        <f>'[4]Simulação Real Aberta'!AT77</f>
        <v>0</v>
      </c>
      <c r="AU37" s="106">
        <f>'[4]Simulação Real Aberta'!AU77</f>
        <v>0</v>
      </c>
      <c r="AV37" s="106">
        <f>'[4]Simulação Real Aberta'!AV77</f>
        <v>0</v>
      </c>
      <c r="AW37" s="106">
        <f>'[4]Simulação Real Aberta'!AW77</f>
        <v>0</v>
      </c>
      <c r="AX37" s="106">
        <f>'[4]Simulação Real Aberta'!AX77</f>
        <v>0</v>
      </c>
      <c r="AY37" s="106">
        <f>'[4]Simulação Real Aberta'!AY77</f>
        <v>0</v>
      </c>
      <c r="AZ37" s="106">
        <f>'[4]Simulação Real Aberta'!AZ77</f>
        <v>0</v>
      </c>
      <c r="BA37" s="106">
        <f>'[4]Simulação Real Aberta'!BA77</f>
        <v>0</v>
      </c>
      <c r="BB37" s="106">
        <f>'[4]Simulação Real Aberta'!BB77</f>
        <v>0</v>
      </c>
      <c r="BC37" s="106">
        <f>'[4]Simulação Real Aberta'!BC77</f>
        <v>0</v>
      </c>
      <c r="BD37" s="106">
        <f>'[4]Simulação Real Aberta'!BD77</f>
        <v>2230000</v>
      </c>
      <c r="BE37" s="106">
        <f>'[4]Simulação Real Aberta'!BE77</f>
        <v>0</v>
      </c>
      <c r="BF37" s="106">
        <f>'[4]Simulação Real Aberta'!BF77</f>
        <v>2230000</v>
      </c>
    </row>
    <row r="38" spans="1:58" x14ac:dyDescent="0.25">
      <c r="A38" s="100" t="s">
        <v>152</v>
      </c>
      <c r="B38" s="101">
        <f>B39</f>
        <v>128537072.95</v>
      </c>
      <c r="C38" s="101">
        <f>C39</f>
        <v>0</v>
      </c>
      <c r="D38" s="101">
        <f>B38+C38</f>
        <v>128537072.95</v>
      </c>
      <c r="F38" s="101">
        <f>F39</f>
        <v>0</v>
      </c>
      <c r="G38" s="101">
        <f t="shared" ref="G38:BF39" si="12">G39</f>
        <v>0</v>
      </c>
      <c r="H38" s="101">
        <f t="shared" si="12"/>
        <v>0</v>
      </c>
      <c r="I38" s="101">
        <f t="shared" si="12"/>
        <v>0</v>
      </c>
      <c r="J38" s="101">
        <f t="shared" si="12"/>
        <v>7574626</v>
      </c>
      <c r="K38" s="101">
        <f t="shared" si="12"/>
        <v>0</v>
      </c>
      <c r="L38" s="101">
        <f t="shared" si="12"/>
        <v>17482699</v>
      </c>
      <c r="M38" s="101">
        <f t="shared" si="12"/>
        <v>0</v>
      </c>
      <c r="N38" s="101">
        <f t="shared" si="12"/>
        <v>25057325</v>
      </c>
      <c r="O38" s="101">
        <f t="shared" si="12"/>
        <v>0</v>
      </c>
      <c r="P38" s="101">
        <f t="shared" si="12"/>
        <v>15546133</v>
      </c>
      <c r="Q38" s="101">
        <f t="shared" si="12"/>
        <v>0</v>
      </c>
      <c r="R38" s="101">
        <f t="shared" si="12"/>
        <v>18506547</v>
      </c>
      <c r="S38" s="101">
        <f t="shared" si="12"/>
        <v>0</v>
      </c>
      <c r="T38" s="101">
        <f t="shared" si="12"/>
        <v>17850711</v>
      </c>
      <c r="U38" s="101">
        <f t="shared" si="12"/>
        <v>0</v>
      </c>
      <c r="V38" s="101">
        <f t="shared" si="12"/>
        <v>19713993</v>
      </c>
      <c r="W38" s="101">
        <f t="shared" si="12"/>
        <v>0</v>
      </c>
      <c r="X38" s="101">
        <f t="shared" si="12"/>
        <v>71617384</v>
      </c>
      <c r="Y38" s="101">
        <f t="shared" si="12"/>
        <v>0</v>
      </c>
      <c r="Z38" s="101">
        <f t="shared" si="12"/>
        <v>16730636</v>
      </c>
      <c r="AA38" s="101">
        <f t="shared" si="12"/>
        <v>0</v>
      </c>
      <c r="AB38" s="101">
        <f t="shared" si="12"/>
        <v>15131727.949999999</v>
      </c>
      <c r="AC38" s="101">
        <f t="shared" si="12"/>
        <v>0</v>
      </c>
      <c r="AD38" s="101">
        <f t="shared" si="12"/>
        <v>0</v>
      </c>
      <c r="AE38" s="101">
        <f t="shared" si="12"/>
        <v>0</v>
      </c>
      <c r="AF38" s="101">
        <f t="shared" si="12"/>
        <v>0</v>
      </c>
      <c r="AG38" s="101">
        <f t="shared" si="12"/>
        <v>0</v>
      </c>
      <c r="AH38" s="101">
        <f t="shared" si="12"/>
        <v>31862363.949999999</v>
      </c>
      <c r="AI38" s="101">
        <f t="shared" si="12"/>
        <v>0</v>
      </c>
      <c r="AJ38" s="101">
        <f t="shared" si="12"/>
        <v>0</v>
      </c>
      <c r="AK38" s="101">
        <f t="shared" si="12"/>
        <v>0</v>
      </c>
      <c r="AL38" s="101">
        <f t="shared" si="12"/>
        <v>0</v>
      </c>
      <c r="AM38" s="101">
        <f t="shared" si="12"/>
        <v>0</v>
      </c>
      <c r="AN38" s="101">
        <f t="shared" si="12"/>
        <v>0</v>
      </c>
      <c r="AO38" s="101">
        <f t="shared" si="12"/>
        <v>0</v>
      </c>
      <c r="AP38" s="101">
        <f t="shared" si="12"/>
        <v>0</v>
      </c>
      <c r="AQ38" s="101">
        <f t="shared" si="12"/>
        <v>0</v>
      </c>
      <c r="AR38" s="101">
        <f t="shared" si="12"/>
        <v>0</v>
      </c>
      <c r="AS38" s="101">
        <f t="shared" si="12"/>
        <v>0</v>
      </c>
      <c r="AT38" s="101">
        <f t="shared" si="12"/>
        <v>0</v>
      </c>
      <c r="AU38" s="101">
        <f t="shared" si="12"/>
        <v>0</v>
      </c>
      <c r="AV38" s="101">
        <f t="shared" si="12"/>
        <v>0</v>
      </c>
      <c r="AW38" s="101">
        <f t="shared" si="12"/>
        <v>0</v>
      </c>
      <c r="AX38" s="101">
        <f t="shared" si="12"/>
        <v>0</v>
      </c>
      <c r="AY38" s="101">
        <f t="shared" si="12"/>
        <v>0</v>
      </c>
      <c r="AZ38" s="101">
        <f t="shared" si="12"/>
        <v>0</v>
      </c>
      <c r="BA38" s="101">
        <f t="shared" si="12"/>
        <v>0</v>
      </c>
      <c r="BB38" s="101">
        <f t="shared" si="12"/>
        <v>0</v>
      </c>
      <c r="BC38" s="101">
        <f t="shared" si="12"/>
        <v>0</v>
      </c>
      <c r="BD38" s="101">
        <f t="shared" si="12"/>
        <v>128537072.95</v>
      </c>
      <c r="BE38" s="101">
        <f t="shared" si="12"/>
        <v>0</v>
      </c>
      <c r="BF38" s="101">
        <f t="shared" si="12"/>
        <v>128537072.95</v>
      </c>
    </row>
    <row r="39" spans="1:58" x14ac:dyDescent="0.25">
      <c r="A39" s="165" t="s">
        <v>153</v>
      </c>
      <c r="B39" s="103">
        <f>B40+B47</f>
        <v>128537072.95</v>
      </c>
      <c r="C39" s="103">
        <f>C40+C47</f>
        <v>0</v>
      </c>
      <c r="D39" s="103">
        <f>B39+C39</f>
        <v>128537072.95</v>
      </c>
      <c r="F39" s="103">
        <f>F40</f>
        <v>0</v>
      </c>
      <c r="G39" s="103">
        <f t="shared" si="12"/>
        <v>0</v>
      </c>
      <c r="H39" s="103">
        <f t="shared" si="12"/>
        <v>0</v>
      </c>
      <c r="I39" s="103">
        <f t="shared" si="12"/>
        <v>0</v>
      </c>
      <c r="J39" s="103">
        <f t="shared" si="12"/>
        <v>7574626</v>
      </c>
      <c r="K39" s="103">
        <f t="shared" si="12"/>
        <v>0</v>
      </c>
      <c r="L39" s="103">
        <f t="shared" si="12"/>
        <v>17482699</v>
      </c>
      <c r="M39" s="103">
        <f t="shared" si="12"/>
        <v>0</v>
      </c>
      <c r="N39" s="103">
        <f t="shared" si="12"/>
        <v>25057325</v>
      </c>
      <c r="O39" s="103">
        <f t="shared" si="12"/>
        <v>0</v>
      </c>
      <c r="P39" s="103">
        <f t="shared" si="12"/>
        <v>15546133</v>
      </c>
      <c r="Q39" s="103">
        <f t="shared" si="12"/>
        <v>0</v>
      </c>
      <c r="R39" s="103">
        <f t="shared" si="12"/>
        <v>18506547</v>
      </c>
      <c r="S39" s="103">
        <f t="shared" si="12"/>
        <v>0</v>
      </c>
      <c r="T39" s="103">
        <f t="shared" si="12"/>
        <v>17850711</v>
      </c>
      <c r="U39" s="103">
        <f t="shared" si="12"/>
        <v>0</v>
      </c>
      <c r="V39" s="103">
        <f t="shared" si="12"/>
        <v>19713993</v>
      </c>
      <c r="W39" s="103">
        <f t="shared" si="12"/>
        <v>0</v>
      </c>
      <c r="X39" s="103">
        <f t="shared" si="12"/>
        <v>71617384</v>
      </c>
      <c r="Y39" s="103">
        <f t="shared" si="12"/>
        <v>0</v>
      </c>
      <c r="Z39" s="103">
        <f t="shared" si="12"/>
        <v>16730636</v>
      </c>
      <c r="AA39" s="103">
        <f t="shared" si="12"/>
        <v>0</v>
      </c>
      <c r="AB39" s="103">
        <f t="shared" si="12"/>
        <v>15131727.949999999</v>
      </c>
      <c r="AC39" s="103">
        <f t="shared" si="12"/>
        <v>0</v>
      </c>
      <c r="AD39" s="103">
        <f t="shared" si="12"/>
        <v>0</v>
      </c>
      <c r="AE39" s="103">
        <f t="shared" si="12"/>
        <v>0</v>
      </c>
      <c r="AF39" s="103">
        <f t="shared" si="12"/>
        <v>0</v>
      </c>
      <c r="AG39" s="103">
        <f t="shared" si="12"/>
        <v>0</v>
      </c>
      <c r="AH39" s="103">
        <f t="shared" si="12"/>
        <v>31862363.949999999</v>
      </c>
      <c r="AI39" s="103">
        <f t="shared" si="12"/>
        <v>0</v>
      </c>
      <c r="AJ39" s="103">
        <f t="shared" si="12"/>
        <v>0</v>
      </c>
      <c r="AK39" s="103">
        <f t="shared" si="12"/>
        <v>0</v>
      </c>
      <c r="AL39" s="103">
        <f t="shared" si="12"/>
        <v>0</v>
      </c>
      <c r="AM39" s="103">
        <f t="shared" si="12"/>
        <v>0</v>
      </c>
      <c r="AN39" s="103">
        <f t="shared" si="12"/>
        <v>0</v>
      </c>
      <c r="AO39" s="103">
        <f t="shared" si="12"/>
        <v>0</v>
      </c>
      <c r="AP39" s="103">
        <f t="shared" si="12"/>
        <v>0</v>
      </c>
      <c r="AQ39" s="103">
        <f t="shared" si="12"/>
        <v>0</v>
      </c>
      <c r="AR39" s="103">
        <f t="shared" si="12"/>
        <v>0</v>
      </c>
      <c r="AS39" s="103">
        <f t="shared" si="12"/>
        <v>0</v>
      </c>
      <c r="AT39" s="103">
        <f t="shared" si="12"/>
        <v>0</v>
      </c>
      <c r="AU39" s="103">
        <f t="shared" si="12"/>
        <v>0</v>
      </c>
      <c r="AV39" s="103">
        <f t="shared" si="12"/>
        <v>0</v>
      </c>
      <c r="AW39" s="103">
        <f t="shared" si="12"/>
        <v>0</v>
      </c>
      <c r="AX39" s="103">
        <f t="shared" si="12"/>
        <v>0</v>
      </c>
      <c r="AY39" s="103">
        <f t="shared" si="12"/>
        <v>0</v>
      </c>
      <c r="AZ39" s="103">
        <f t="shared" si="12"/>
        <v>0</v>
      </c>
      <c r="BA39" s="103">
        <f t="shared" si="12"/>
        <v>0</v>
      </c>
      <c r="BB39" s="103">
        <f t="shared" si="12"/>
        <v>0</v>
      </c>
      <c r="BC39" s="103">
        <f t="shared" si="12"/>
        <v>0</v>
      </c>
      <c r="BD39" s="103">
        <f t="shared" si="12"/>
        <v>128537072.95</v>
      </c>
      <c r="BE39" s="103">
        <f t="shared" si="12"/>
        <v>0</v>
      </c>
      <c r="BF39" s="103">
        <f t="shared" si="12"/>
        <v>128537072.95</v>
      </c>
    </row>
    <row r="40" spans="1:58" x14ac:dyDescent="0.25">
      <c r="A40" s="162" t="s">
        <v>154</v>
      </c>
      <c r="B40" s="106">
        <f>B41+B42+B43+B44+B45+B46</f>
        <v>128537072.95</v>
      </c>
      <c r="C40" s="106">
        <f>C41+C42+C43+C44+C45+C46</f>
        <v>0</v>
      </c>
      <c r="D40" s="106">
        <f t="shared" ref="D40:D52" si="13">B40+C40</f>
        <v>128537072.95</v>
      </c>
      <c r="F40" s="106">
        <f>'[4]Simulação Real Aberta'!F80</f>
        <v>0</v>
      </c>
      <c r="G40" s="106">
        <f>'[4]Simulação Real Aberta'!G80</f>
        <v>0</v>
      </c>
      <c r="H40" s="106">
        <f>'[4]Simulação Real Aberta'!H80</f>
        <v>0</v>
      </c>
      <c r="I40" s="106">
        <f>'[4]Simulação Real Aberta'!I80</f>
        <v>0</v>
      </c>
      <c r="J40" s="106">
        <f>'[4]Simulação Real Aberta'!J80</f>
        <v>7574626</v>
      </c>
      <c r="K40" s="106">
        <f>'[4]Simulação Real Aberta'!K80</f>
        <v>0</v>
      </c>
      <c r="L40" s="106">
        <f>'[4]Simulação Real Aberta'!L80</f>
        <v>17482699</v>
      </c>
      <c r="M40" s="106">
        <f>'[4]Simulação Real Aberta'!M80</f>
        <v>0</v>
      </c>
      <c r="N40" s="106">
        <f>'[4]Simulação Real Aberta'!N80</f>
        <v>25057325</v>
      </c>
      <c r="O40" s="106">
        <f>'[4]Simulação Real Aberta'!O80</f>
        <v>0</v>
      </c>
      <c r="P40" s="106">
        <f>'[4]Simulação Real Aberta'!P80</f>
        <v>15546133</v>
      </c>
      <c r="Q40" s="106">
        <f>'[4]Simulação Real Aberta'!Q80</f>
        <v>0</v>
      </c>
      <c r="R40" s="106">
        <f>'[4]Simulação Real Aberta'!R80</f>
        <v>18506547</v>
      </c>
      <c r="S40" s="106">
        <f>'[4]Simulação Real Aberta'!S80</f>
        <v>0</v>
      </c>
      <c r="T40" s="106">
        <f>'[4]Simulação Real Aberta'!T80</f>
        <v>17850711</v>
      </c>
      <c r="U40" s="106">
        <f>'[4]Simulação Real Aberta'!U80</f>
        <v>0</v>
      </c>
      <c r="V40" s="106">
        <f>'[4]Simulação Real Aberta'!V80</f>
        <v>19713993</v>
      </c>
      <c r="W40" s="106">
        <f>'[4]Simulação Real Aberta'!W80</f>
        <v>0</v>
      </c>
      <c r="X40" s="106">
        <f>'[4]Simulação Real Aberta'!X80</f>
        <v>71617384</v>
      </c>
      <c r="Y40" s="106">
        <f>'[4]Simulação Real Aberta'!Y80</f>
        <v>0</v>
      </c>
      <c r="Z40" s="106">
        <f>'[4]Simulação Real Aberta'!Z80</f>
        <v>16730636</v>
      </c>
      <c r="AA40" s="106">
        <f>'[4]Simulação Real Aberta'!AA80</f>
        <v>0</v>
      </c>
      <c r="AB40" s="106">
        <f>'[4]Simulação Real Aberta'!AB80</f>
        <v>15131727.949999999</v>
      </c>
      <c r="AC40" s="106">
        <f>'[4]Simulação Real Aberta'!AC80</f>
        <v>0</v>
      </c>
      <c r="AD40" s="106">
        <f>'[4]Simulação Real Aberta'!AD80</f>
        <v>0</v>
      </c>
      <c r="AE40" s="106">
        <f>'[4]Simulação Real Aberta'!AE80</f>
        <v>0</v>
      </c>
      <c r="AF40" s="106">
        <f>'[4]Simulação Real Aberta'!AF80</f>
        <v>0</v>
      </c>
      <c r="AG40" s="106">
        <f>'[4]Simulação Real Aberta'!AG80</f>
        <v>0</v>
      </c>
      <c r="AH40" s="106">
        <f>'[4]Simulação Real Aberta'!AH80</f>
        <v>31862363.949999999</v>
      </c>
      <c r="AI40" s="106">
        <f>'[4]Simulação Real Aberta'!AI80</f>
        <v>0</v>
      </c>
      <c r="AJ40" s="106">
        <f>'[4]Simulação Real Aberta'!AJ80</f>
        <v>0</v>
      </c>
      <c r="AK40" s="106">
        <f>'[4]Simulação Real Aberta'!AK80</f>
        <v>0</v>
      </c>
      <c r="AL40" s="106">
        <f>'[4]Simulação Real Aberta'!AL80</f>
        <v>0</v>
      </c>
      <c r="AM40" s="106">
        <f>'[4]Simulação Real Aberta'!AM80</f>
        <v>0</v>
      </c>
      <c r="AN40" s="106">
        <f>'[4]Simulação Real Aberta'!AN80</f>
        <v>0</v>
      </c>
      <c r="AO40" s="106">
        <f>'[4]Simulação Real Aberta'!AO80</f>
        <v>0</v>
      </c>
      <c r="AP40" s="106">
        <f>'[4]Simulação Real Aberta'!AP80</f>
        <v>0</v>
      </c>
      <c r="AQ40" s="106">
        <f>'[4]Simulação Real Aberta'!AQ80</f>
        <v>0</v>
      </c>
      <c r="AR40" s="106">
        <f>'[4]Simulação Real Aberta'!AR80</f>
        <v>0</v>
      </c>
      <c r="AS40" s="106">
        <f>'[4]Simulação Real Aberta'!AS80</f>
        <v>0</v>
      </c>
      <c r="AT40" s="106">
        <f>'[4]Simulação Real Aberta'!AT80</f>
        <v>0</v>
      </c>
      <c r="AU40" s="106">
        <f>'[4]Simulação Real Aberta'!AU80</f>
        <v>0</v>
      </c>
      <c r="AV40" s="106">
        <f>'[4]Simulação Real Aberta'!AV80</f>
        <v>0</v>
      </c>
      <c r="AW40" s="106">
        <f>'[4]Simulação Real Aberta'!AW80</f>
        <v>0</v>
      </c>
      <c r="AX40" s="106">
        <f>'[4]Simulação Real Aberta'!AX80</f>
        <v>0</v>
      </c>
      <c r="AY40" s="106">
        <f>'[4]Simulação Real Aberta'!AY80</f>
        <v>0</v>
      </c>
      <c r="AZ40" s="106">
        <f>'[4]Simulação Real Aberta'!AZ80</f>
        <v>0</v>
      </c>
      <c r="BA40" s="106">
        <f>'[4]Simulação Real Aberta'!BA80</f>
        <v>0</v>
      </c>
      <c r="BB40" s="106">
        <f>'[4]Simulação Real Aberta'!BB80</f>
        <v>0</v>
      </c>
      <c r="BC40" s="106">
        <f>'[4]Simulação Real Aberta'!BC80</f>
        <v>0</v>
      </c>
      <c r="BD40" s="106">
        <f>'[4]Simulação Real Aberta'!BD80</f>
        <v>128537072.95</v>
      </c>
      <c r="BE40" s="106">
        <f>'[4]Simulação Real Aberta'!BE80</f>
        <v>0</v>
      </c>
      <c r="BF40" s="106">
        <f>'[4]Simulação Real Aberta'!BF80</f>
        <v>128537072.95</v>
      </c>
    </row>
    <row r="41" spans="1:58" x14ac:dyDescent="0.25">
      <c r="A41" s="123" t="s">
        <v>155</v>
      </c>
      <c r="B41" s="105">
        <v>73693708.090000018</v>
      </c>
      <c r="C41" s="106">
        <v>0</v>
      </c>
      <c r="D41" s="105">
        <f t="shared" si="13"/>
        <v>73693708.090000018</v>
      </c>
      <c r="F41" s="106">
        <f>'[4]Simulação Real Aberta'!F81</f>
        <v>0</v>
      </c>
      <c r="G41" s="106">
        <f>'[4]Simulação Real Aberta'!G81</f>
        <v>0</v>
      </c>
      <c r="H41" s="106">
        <f>'[4]Simulação Real Aberta'!H81</f>
        <v>0</v>
      </c>
      <c r="I41" s="106">
        <f>'[4]Simulação Real Aberta'!I81</f>
        <v>0</v>
      </c>
      <c r="J41" s="106">
        <f>'[4]Simulação Real Aberta'!J81</f>
        <v>4985305</v>
      </c>
      <c r="K41" s="106">
        <f>'[4]Simulação Real Aberta'!K81</f>
        <v>0</v>
      </c>
      <c r="L41" s="106">
        <f>'[4]Simulação Real Aberta'!L81</f>
        <v>9732588</v>
      </c>
      <c r="M41" s="106">
        <f>'[4]Simulação Real Aberta'!M81</f>
        <v>0</v>
      </c>
      <c r="N41" s="106">
        <f>'[4]Simulação Real Aberta'!N81</f>
        <v>14717893</v>
      </c>
      <c r="O41" s="106">
        <f>'[4]Simulação Real Aberta'!O81</f>
        <v>0</v>
      </c>
      <c r="P41" s="106">
        <f>'[4]Simulação Real Aberta'!P81</f>
        <v>7700812</v>
      </c>
      <c r="Q41" s="106">
        <f>'[4]Simulação Real Aberta'!Q81</f>
        <v>0</v>
      </c>
      <c r="R41" s="106">
        <f>'[4]Simulação Real Aberta'!R81</f>
        <v>10965333</v>
      </c>
      <c r="S41" s="106">
        <f>'[4]Simulação Real Aberta'!S81</f>
        <v>0</v>
      </c>
      <c r="T41" s="106">
        <f>'[4]Simulação Real Aberta'!T81</f>
        <v>10200501</v>
      </c>
      <c r="U41" s="106">
        <f>'[4]Simulação Real Aberta'!U81</f>
        <v>0</v>
      </c>
      <c r="V41" s="106">
        <f>'[4]Simulação Real Aberta'!V81</f>
        <v>10801742</v>
      </c>
      <c r="W41" s="106">
        <f>'[4]Simulação Real Aberta'!W81</f>
        <v>0</v>
      </c>
      <c r="X41" s="106">
        <f>'[4]Simulação Real Aberta'!X81</f>
        <v>39668388</v>
      </c>
      <c r="Y41" s="106">
        <f>'[4]Simulação Real Aberta'!Y81</f>
        <v>0</v>
      </c>
      <c r="Z41" s="106">
        <f>'[4]Simulação Real Aberta'!Z81</f>
        <v>10909584</v>
      </c>
      <c r="AA41" s="106">
        <f>'[4]Simulação Real Aberta'!AA81</f>
        <v>0</v>
      </c>
      <c r="AB41" s="106">
        <f>'[4]Simulação Real Aberta'!AB81</f>
        <v>8397843.0899999999</v>
      </c>
      <c r="AC41" s="106">
        <f>'[4]Simulação Real Aberta'!AC81</f>
        <v>0</v>
      </c>
      <c r="AD41" s="106">
        <f>'[4]Simulação Real Aberta'!AD81</f>
        <v>0</v>
      </c>
      <c r="AE41" s="106">
        <f>'[4]Simulação Real Aberta'!AE81</f>
        <v>0</v>
      </c>
      <c r="AF41" s="106">
        <f>'[4]Simulação Real Aberta'!AF81</f>
        <v>0</v>
      </c>
      <c r="AG41" s="106">
        <f>'[4]Simulação Real Aberta'!AG81</f>
        <v>0</v>
      </c>
      <c r="AH41" s="106">
        <f>'[4]Simulação Real Aberta'!AH81</f>
        <v>19307427.09</v>
      </c>
      <c r="AI41" s="106">
        <f>'[4]Simulação Real Aberta'!AI81</f>
        <v>0</v>
      </c>
      <c r="AJ41" s="106">
        <f>'[4]Simulação Real Aberta'!AJ81</f>
        <v>0</v>
      </c>
      <c r="AK41" s="106">
        <f>'[4]Simulação Real Aberta'!AK81</f>
        <v>0</v>
      </c>
      <c r="AL41" s="106">
        <f>'[4]Simulação Real Aberta'!AL81</f>
        <v>0</v>
      </c>
      <c r="AM41" s="106">
        <f>'[4]Simulação Real Aberta'!AM81</f>
        <v>0</v>
      </c>
      <c r="AN41" s="106">
        <f>'[4]Simulação Real Aberta'!AN81</f>
        <v>0</v>
      </c>
      <c r="AO41" s="106">
        <f>'[4]Simulação Real Aberta'!AO81</f>
        <v>0</v>
      </c>
      <c r="AP41" s="106">
        <f>'[4]Simulação Real Aberta'!AP81</f>
        <v>0</v>
      </c>
      <c r="AQ41" s="106">
        <f>'[4]Simulação Real Aberta'!AQ81</f>
        <v>0</v>
      </c>
      <c r="AR41" s="106">
        <f>'[4]Simulação Real Aberta'!AR81</f>
        <v>0</v>
      </c>
      <c r="AS41" s="106">
        <f>'[4]Simulação Real Aberta'!AS81</f>
        <v>0</v>
      </c>
      <c r="AT41" s="106">
        <f>'[4]Simulação Real Aberta'!AT81</f>
        <v>0</v>
      </c>
      <c r="AU41" s="106">
        <f>'[4]Simulação Real Aberta'!AU81</f>
        <v>0</v>
      </c>
      <c r="AV41" s="106">
        <f>'[4]Simulação Real Aberta'!AV81</f>
        <v>0</v>
      </c>
      <c r="AW41" s="106">
        <f>'[4]Simulação Real Aberta'!AW81</f>
        <v>0</v>
      </c>
      <c r="AX41" s="106">
        <f>'[4]Simulação Real Aberta'!AX81</f>
        <v>0</v>
      </c>
      <c r="AY41" s="106">
        <f>'[4]Simulação Real Aberta'!AY81</f>
        <v>0</v>
      </c>
      <c r="AZ41" s="106">
        <f>'[4]Simulação Real Aberta'!AZ81</f>
        <v>0</v>
      </c>
      <c r="BA41" s="106">
        <f>'[4]Simulação Real Aberta'!BA81</f>
        <v>0</v>
      </c>
      <c r="BB41" s="106">
        <f>'[4]Simulação Real Aberta'!BB81</f>
        <v>0</v>
      </c>
      <c r="BC41" s="106">
        <f>'[4]Simulação Real Aberta'!BC81</f>
        <v>0</v>
      </c>
      <c r="BD41" s="106">
        <f>'[4]Simulação Real Aberta'!BD81</f>
        <v>73693708.090000004</v>
      </c>
      <c r="BE41" s="106">
        <f>'[4]Simulação Real Aberta'!BE81</f>
        <v>0</v>
      </c>
      <c r="BF41" s="106">
        <f>'[4]Simulação Real Aberta'!BF81</f>
        <v>73693708.090000004</v>
      </c>
    </row>
    <row r="42" spans="1:58" x14ac:dyDescent="0.25">
      <c r="A42" s="123" t="s">
        <v>156</v>
      </c>
      <c r="B42" s="105">
        <v>50699581.140000001</v>
      </c>
      <c r="C42" s="106">
        <v>0</v>
      </c>
      <c r="D42" s="105">
        <f t="shared" si="13"/>
        <v>50699581.140000001</v>
      </c>
      <c r="F42" s="106">
        <f>'[4]Simulação Real Aberta'!F82</f>
        <v>0</v>
      </c>
      <c r="G42" s="106">
        <f>'[4]Simulação Real Aberta'!G82</f>
        <v>0</v>
      </c>
      <c r="H42" s="106">
        <f>'[4]Simulação Real Aberta'!H82</f>
        <v>0</v>
      </c>
      <c r="I42" s="106">
        <f>'[4]Simulação Real Aberta'!I82</f>
        <v>0</v>
      </c>
      <c r="J42" s="106">
        <f>'[4]Simulação Real Aberta'!J82</f>
        <v>2589321</v>
      </c>
      <c r="K42" s="106">
        <f>'[4]Simulação Real Aberta'!K82</f>
        <v>0</v>
      </c>
      <c r="L42" s="106">
        <f>'[4]Simulação Real Aberta'!L82</f>
        <v>7750111</v>
      </c>
      <c r="M42" s="106">
        <f>'[4]Simulação Real Aberta'!M82</f>
        <v>0</v>
      </c>
      <c r="N42" s="106">
        <f>'[4]Simulação Real Aberta'!N82</f>
        <v>10339432</v>
      </c>
      <c r="O42" s="106">
        <f>'[4]Simulação Real Aberta'!O82</f>
        <v>0</v>
      </c>
      <c r="P42" s="106">
        <f>'[4]Simulação Real Aberta'!P82</f>
        <v>7845321</v>
      </c>
      <c r="Q42" s="106">
        <f>'[4]Simulação Real Aberta'!Q82</f>
        <v>0</v>
      </c>
      <c r="R42" s="106">
        <f>'[4]Simulação Real Aberta'!R82</f>
        <v>7541214</v>
      </c>
      <c r="S42" s="106">
        <f>'[4]Simulação Real Aberta'!S82</f>
        <v>0</v>
      </c>
      <c r="T42" s="106">
        <f>'[4]Simulação Real Aberta'!T82</f>
        <v>7650210</v>
      </c>
      <c r="U42" s="106">
        <f>'[4]Simulação Real Aberta'!U82</f>
        <v>0</v>
      </c>
      <c r="V42" s="106">
        <f>'[4]Simulação Real Aberta'!V82</f>
        <v>8412251</v>
      </c>
      <c r="W42" s="106">
        <f>'[4]Simulação Real Aberta'!W82</f>
        <v>0</v>
      </c>
      <c r="X42" s="106">
        <f>'[4]Simulação Real Aberta'!X82</f>
        <v>31448996</v>
      </c>
      <c r="Y42" s="106">
        <f>'[4]Simulação Real Aberta'!Y82</f>
        <v>0</v>
      </c>
      <c r="Z42" s="106">
        <f>'[4]Simulação Real Aberta'!Z82</f>
        <v>4490222</v>
      </c>
      <c r="AA42" s="106">
        <f>'[4]Simulação Real Aberta'!AA82</f>
        <v>0</v>
      </c>
      <c r="AB42" s="106">
        <f>'[4]Simulação Real Aberta'!AB82</f>
        <v>4420931.1399999997</v>
      </c>
      <c r="AC42" s="106">
        <f>'[4]Simulação Real Aberta'!AC82</f>
        <v>0</v>
      </c>
      <c r="AD42" s="106">
        <f>'[4]Simulação Real Aberta'!AD82</f>
        <v>0</v>
      </c>
      <c r="AE42" s="106">
        <f>'[4]Simulação Real Aberta'!AE82</f>
        <v>0</v>
      </c>
      <c r="AF42" s="106">
        <f>'[4]Simulação Real Aberta'!AF82</f>
        <v>0</v>
      </c>
      <c r="AG42" s="106">
        <f>'[4]Simulação Real Aberta'!AG82</f>
        <v>0</v>
      </c>
      <c r="AH42" s="106">
        <f>'[4]Simulação Real Aberta'!AH82</f>
        <v>8911153.1400000006</v>
      </c>
      <c r="AI42" s="106">
        <f>'[4]Simulação Real Aberta'!AI82</f>
        <v>0</v>
      </c>
      <c r="AJ42" s="106">
        <f>'[4]Simulação Real Aberta'!AJ82</f>
        <v>0</v>
      </c>
      <c r="AK42" s="106">
        <f>'[4]Simulação Real Aberta'!AK82</f>
        <v>0</v>
      </c>
      <c r="AL42" s="106">
        <f>'[4]Simulação Real Aberta'!AL82</f>
        <v>0</v>
      </c>
      <c r="AM42" s="106">
        <f>'[4]Simulação Real Aberta'!AM82</f>
        <v>0</v>
      </c>
      <c r="AN42" s="106">
        <f>'[4]Simulação Real Aberta'!AN82</f>
        <v>0</v>
      </c>
      <c r="AO42" s="106">
        <f>'[4]Simulação Real Aberta'!AO82</f>
        <v>0</v>
      </c>
      <c r="AP42" s="106">
        <f>'[4]Simulação Real Aberta'!AP82</f>
        <v>0</v>
      </c>
      <c r="AQ42" s="106">
        <f>'[4]Simulação Real Aberta'!AQ82</f>
        <v>0</v>
      </c>
      <c r="AR42" s="106">
        <f>'[4]Simulação Real Aberta'!AR82</f>
        <v>0</v>
      </c>
      <c r="AS42" s="106">
        <f>'[4]Simulação Real Aberta'!AS82</f>
        <v>0</v>
      </c>
      <c r="AT42" s="106">
        <f>'[4]Simulação Real Aberta'!AT82</f>
        <v>0</v>
      </c>
      <c r="AU42" s="106">
        <f>'[4]Simulação Real Aberta'!AU82</f>
        <v>0</v>
      </c>
      <c r="AV42" s="106">
        <f>'[4]Simulação Real Aberta'!AV82</f>
        <v>0</v>
      </c>
      <c r="AW42" s="106">
        <f>'[4]Simulação Real Aberta'!AW82</f>
        <v>0</v>
      </c>
      <c r="AX42" s="106">
        <f>'[4]Simulação Real Aberta'!AX82</f>
        <v>0</v>
      </c>
      <c r="AY42" s="106">
        <f>'[4]Simulação Real Aberta'!AY82</f>
        <v>0</v>
      </c>
      <c r="AZ42" s="106">
        <f>'[4]Simulação Real Aberta'!AZ82</f>
        <v>0</v>
      </c>
      <c r="BA42" s="106">
        <f>'[4]Simulação Real Aberta'!BA82</f>
        <v>0</v>
      </c>
      <c r="BB42" s="106">
        <f>'[4]Simulação Real Aberta'!BB82</f>
        <v>0</v>
      </c>
      <c r="BC42" s="106">
        <f>'[4]Simulação Real Aberta'!BC82</f>
        <v>0</v>
      </c>
      <c r="BD42" s="106">
        <f>'[4]Simulação Real Aberta'!BD82</f>
        <v>50699581.140000001</v>
      </c>
      <c r="BE42" s="106">
        <f>'[4]Simulação Real Aberta'!BE82</f>
        <v>0</v>
      </c>
      <c r="BF42" s="106">
        <f>'[4]Simulação Real Aberta'!BF82</f>
        <v>50699581.140000001</v>
      </c>
    </row>
    <row r="43" spans="1:58" x14ac:dyDescent="0.25">
      <c r="A43" s="104" t="s">
        <v>157</v>
      </c>
      <c r="B43" s="105">
        <v>0</v>
      </c>
      <c r="C43" s="106">
        <v>0</v>
      </c>
      <c r="D43" s="105">
        <f t="shared" si="13"/>
        <v>0</v>
      </c>
      <c r="F43" s="106">
        <f>'[4]Simulação Real Aberta'!F83</f>
        <v>0</v>
      </c>
      <c r="G43" s="106">
        <f>'[4]Simulação Real Aberta'!G83</f>
        <v>0</v>
      </c>
      <c r="H43" s="106">
        <f>'[4]Simulação Real Aberta'!H83</f>
        <v>0</v>
      </c>
      <c r="I43" s="106">
        <f>'[4]Simulação Real Aberta'!I83</f>
        <v>0</v>
      </c>
      <c r="J43" s="106">
        <f>'[4]Simulação Real Aberta'!J83</f>
        <v>0</v>
      </c>
      <c r="K43" s="106">
        <f>'[4]Simulação Real Aberta'!K83</f>
        <v>0</v>
      </c>
      <c r="L43" s="106">
        <f>'[4]Simulação Real Aberta'!L83</f>
        <v>0</v>
      </c>
      <c r="M43" s="106">
        <f>'[4]Simulação Real Aberta'!M83</f>
        <v>0</v>
      </c>
      <c r="N43" s="106">
        <f>'[4]Simulação Real Aberta'!N83</f>
        <v>0</v>
      </c>
      <c r="O43" s="106">
        <f>'[4]Simulação Real Aberta'!O83</f>
        <v>0</v>
      </c>
      <c r="P43" s="106">
        <f>'[4]Simulação Real Aberta'!P83</f>
        <v>0</v>
      </c>
      <c r="Q43" s="106">
        <f>'[4]Simulação Real Aberta'!Q83</f>
        <v>0</v>
      </c>
      <c r="R43" s="106">
        <f>'[4]Simulação Real Aberta'!R83</f>
        <v>0</v>
      </c>
      <c r="S43" s="106">
        <f>'[4]Simulação Real Aberta'!S83</f>
        <v>0</v>
      </c>
      <c r="T43" s="106">
        <f>'[4]Simulação Real Aberta'!T83</f>
        <v>0</v>
      </c>
      <c r="U43" s="106">
        <f>'[4]Simulação Real Aberta'!U83</f>
        <v>0</v>
      </c>
      <c r="V43" s="106">
        <f>'[4]Simulação Real Aberta'!V83</f>
        <v>0</v>
      </c>
      <c r="W43" s="106">
        <f>'[4]Simulação Real Aberta'!W83</f>
        <v>0</v>
      </c>
      <c r="X43" s="106">
        <f>'[4]Simulação Real Aberta'!X83</f>
        <v>0</v>
      </c>
      <c r="Y43" s="106">
        <f>'[4]Simulação Real Aberta'!Y83</f>
        <v>0</v>
      </c>
      <c r="Z43" s="106">
        <f>'[4]Simulação Real Aberta'!Z83</f>
        <v>0</v>
      </c>
      <c r="AA43" s="106">
        <f>'[4]Simulação Real Aberta'!AA83</f>
        <v>0</v>
      </c>
      <c r="AB43" s="106">
        <f>'[4]Simulação Real Aberta'!AB83</f>
        <v>0</v>
      </c>
      <c r="AC43" s="106">
        <f>'[4]Simulação Real Aberta'!AC83</f>
        <v>0</v>
      </c>
      <c r="AD43" s="106">
        <f>'[4]Simulação Real Aberta'!AD83</f>
        <v>0</v>
      </c>
      <c r="AE43" s="106">
        <f>'[4]Simulação Real Aberta'!AE83</f>
        <v>0</v>
      </c>
      <c r="AF43" s="106">
        <f>'[4]Simulação Real Aberta'!AF83</f>
        <v>0</v>
      </c>
      <c r="AG43" s="106">
        <f>'[4]Simulação Real Aberta'!AG83</f>
        <v>0</v>
      </c>
      <c r="AH43" s="106">
        <f>'[4]Simulação Real Aberta'!AH83</f>
        <v>0</v>
      </c>
      <c r="AI43" s="106">
        <f>'[4]Simulação Real Aberta'!AI83</f>
        <v>0</v>
      </c>
      <c r="AJ43" s="106">
        <f>'[4]Simulação Real Aberta'!AJ83</f>
        <v>0</v>
      </c>
      <c r="AK43" s="106">
        <f>'[4]Simulação Real Aberta'!AK83</f>
        <v>0</v>
      </c>
      <c r="AL43" s="106">
        <f>'[4]Simulação Real Aberta'!AL83</f>
        <v>0</v>
      </c>
      <c r="AM43" s="106">
        <f>'[4]Simulação Real Aberta'!AM83</f>
        <v>0</v>
      </c>
      <c r="AN43" s="106">
        <f>'[4]Simulação Real Aberta'!AN83</f>
        <v>0</v>
      </c>
      <c r="AO43" s="106">
        <f>'[4]Simulação Real Aberta'!AO83</f>
        <v>0</v>
      </c>
      <c r="AP43" s="106">
        <f>'[4]Simulação Real Aberta'!AP83</f>
        <v>0</v>
      </c>
      <c r="AQ43" s="106">
        <f>'[4]Simulação Real Aberta'!AQ83</f>
        <v>0</v>
      </c>
      <c r="AR43" s="106">
        <f>'[4]Simulação Real Aberta'!AR83</f>
        <v>0</v>
      </c>
      <c r="AS43" s="106">
        <f>'[4]Simulação Real Aberta'!AS83</f>
        <v>0</v>
      </c>
      <c r="AT43" s="106">
        <f>'[4]Simulação Real Aberta'!AT83</f>
        <v>0</v>
      </c>
      <c r="AU43" s="106">
        <f>'[4]Simulação Real Aberta'!AU83</f>
        <v>0</v>
      </c>
      <c r="AV43" s="106">
        <f>'[4]Simulação Real Aberta'!AV83</f>
        <v>0</v>
      </c>
      <c r="AW43" s="106">
        <f>'[4]Simulação Real Aberta'!AW83</f>
        <v>0</v>
      </c>
      <c r="AX43" s="106">
        <f>'[4]Simulação Real Aberta'!AX83</f>
        <v>0</v>
      </c>
      <c r="AY43" s="106">
        <f>'[4]Simulação Real Aberta'!AY83</f>
        <v>0</v>
      </c>
      <c r="AZ43" s="106">
        <f>'[4]Simulação Real Aberta'!AZ83</f>
        <v>0</v>
      </c>
      <c r="BA43" s="106">
        <f>'[4]Simulação Real Aberta'!BA83</f>
        <v>0</v>
      </c>
      <c r="BB43" s="106">
        <f>'[4]Simulação Real Aberta'!BB83</f>
        <v>0</v>
      </c>
      <c r="BC43" s="106">
        <f>'[4]Simulação Real Aberta'!BC83</f>
        <v>0</v>
      </c>
      <c r="BD43" s="106">
        <f>'[4]Simulação Real Aberta'!BD83</f>
        <v>0</v>
      </c>
      <c r="BE43" s="106">
        <f>'[4]Simulação Real Aberta'!BE83</f>
        <v>0</v>
      </c>
      <c r="BF43" s="106">
        <f>'[4]Simulação Real Aberta'!BF83</f>
        <v>0</v>
      </c>
    </row>
    <row r="44" spans="1:58" x14ac:dyDescent="0.25">
      <c r="A44" s="123" t="s">
        <v>158</v>
      </c>
      <c r="B44" s="105">
        <v>1575577.35</v>
      </c>
      <c r="C44" s="106">
        <v>0</v>
      </c>
      <c r="D44" s="105">
        <f t="shared" si="13"/>
        <v>1575577.35</v>
      </c>
      <c r="F44" s="106">
        <f>'[4]Simulação Real Aberta'!F84</f>
        <v>0</v>
      </c>
      <c r="G44" s="106">
        <f>'[4]Simulação Real Aberta'!G84</f>
        <v>0</v>
      </c>
      <c r="H44" s="106">
        <f>'[4]Simulação Real Aberta'!H84</f>
        <v>0</v>
      </c>
      <c r="I44" s="106">
        <f>'[4]Simulação Real Aberta'!I84</f>
        <v>0</v>
      </c>
      <c r="J44" s="106">
        <f>'[4]Simulação Real Aberta'!J84</f>
        <v>0</v>
      </c>
      <c r="K44" s="106">
        <f>'[4]Simulação Real Aberta'!K84</f>
        <v>0</v>
      </c>
      <c r="L44" s="106">
        <f>'[4]Simulação Real Aberta'!L84</f>
        <v>0</v>
      </c>
      <c r="M44" s="106">
        <f>'[4]Simulação Real Aberta'!M84</f>
        <v>0</v>
      </c>
      <c r="N44" s="106">
        <f>'[4]Simulação Real Aberta'!N84</f>
        <v>0</v>
      </c>
      <c r="O44" s="106">
        <f>'[4]Simulação Real Aberta'!O84</f>
        <v>0</v>
      </c>
      <c r="P44" s="106">
        <f>'[4]Simulação Real Aberta'!P84</f>
        <v>0</v>
      </c>
      <c r="Q44" s="106">
        <f>'[4]Simulação Real Aberta'!Q84</f>
        <v>0</v>
      </c>
      <c r="R44" s="106">
        <f>'[4]Simulação Real Aberta'!R84</f>
        <v>0</v>
      </c>
      <c r="S44" s="106">
        <f>'[4]Simulação Real Aberta'!S84</f>
        <v>0</v>
      </c>
      <c r="T44" s="106">
        <f>'[4]Simulação Real Aberta'!T84</f>
        <v>0</v>
      </c>
      <c r="U44" s="106">
        <f>'[4]Simulação Real Aberta'!U84</f>
        <v>0</v>
      </c>
      <c r="V44" s="106">
        <f>'[4]Simulação Real Aberta'!V84</f>
        <v>500000</v>
      </c>
      <c r="W44" s="106">
        <f>'[4]Simulação Real Aberta'!W84</f>
        <v>0</v>
      </c>
      <c r="X44" s="106">
        <f>'[4]Simulação Real Aberta'!X84</f>
        <v>500000</v>
      </c>
      <c r="Y44" s="106">
        <f>'[4]Simulação Real Aberta'!Y84</f>
        <v>0</v>
      </c>
      <c r="Z44" s="106">
        <f>'[4]Simulação Real Aberta'!Z84</f>
        <v>650000</v>
      </c>
      <c r="AA44" s="106">
        <f>'[4]Simulação Real Aberta'!AA84</f>
        <v>0</v>
      </c>
      <c r="AB44" s="106">
        <f>'[4]Simulação Real Aberta'!AB84</f>
        <v>425577.35000000009</v>
      </c>
      <c r="AC44" s="106">
        <f>'[4]Simulação Real Aberta'!AC84</f>
        <v>0</v>
      </c>
      <c r="AD44" s="106">
        <f>'[4]Simulação Real Aberta'!AD84</f>
        <v>0</v>
      </c>
      <c r="AE44" s="106">
        <f>'[4]Simulação Real Aberta'!AE84</f>
        <v>0</v>
      </c>
      <c r="AF44" s="106">
        <f>'[4]Simulação Real Aberta'!AF84</f>
        <v>0</v>
      </c>
      <c r="AG44" s="106">
        <f>'[4]Simulação Real Aberta'!AG84</f>
        <v>0</v>
      </c>
      <c r="AH44" s="106">
        <f>'[4]Simulação Real Aberta'!AH84</f>
        <v>1075577.3500000001</v>
      </c>
      <c r="AI44" s="106">
        <f>'[4]Simulação Real Aberta'!AI84</f>
        <v>0</v>
      </c>
      <c r="AJ44" s="106">
        <f>'[4]Simulação Real Aberta'!AJ84</f>
        <v>0</v>
      </c>
      <c r="AK44" s="106">
        <f>'[4]Simulação Real Aberta'!AK84</f>
        <v>0</v>
      </c>
      <c r="AL44" s="106">
        <f>'[4]Simulação Real Aberta'!AL84</f>
        <v>0</v>
      </c>
      <c r="AM44" s="106">
        <f>'[4]Simulação Real Aberta'!AM84</f>
        <v>0</v>
      </c>
      <c r="AN44" s="106">
        <f>'[4]Simulação Real Aberta'!AN84</f>
        <v>0</v>
      </c>
      <c r="AO44" s="106">
        <f>'[4]Simulação Real Aberta'!AO84</f>
        <v>0</v>
      </c>
      <c r="AP44" s="106">
        <f>'[4]Simulação Real Aberta'!AP84</f>
        <v>0</v>
      </c>
      <c r="AQ44" s="106">
        <f>'[4]Simulação Real Aberta'!AQ84</f>
        <v>0</v>
      </c>
      <c r="AR44" s="106">
        <f>'[4]Simulação Real Aberta'!AR84</f>
        <v>0</v>
      </c>
      <c r="AS44" s="106">
        <f>'[4]Simulação Real Aberta'!AS84</f>
        <v>0</v>
      </c>
      <c r="AT44" s="106">
        <f>'[4]Simulação Real Aberta'!AT84</f>
        <v>0</v>
      </c>
      <c r="AU44" s="106">
        <f>'[4]Simulação Real Aberta'!AU84</f>
        <v>0</v>
      </c>
      <c r="AV44" s="106">
        <f>'[4]Simulação Real Aberta'!AV84</f>
        <v>0</v>
      </c>
      <c r="AW44" s="106">
        <f>'[4]Simulação Real Aberta'!AW84</f>
        <v>0</v>
      </c>
      <c r="AX44" s="106">
        <f>'[4]Simulação Real Aberta'!AX84</f>
        <v>0</v>
      </c>
      <c r="AY44" s="106">
        <f>'[4]Simulação Real Aberta'!AY84</f>
        <v>0</v>
      </c>
      <c r="AZ44" s="106">
        <f>'[4]Simulação Real Aberta'!AZ84</f>
        <v>0</v>
      </c>
      <c r="BA44" s="106">
        <f>'[4]Simulação Real Aberta'!BA84</f>
        <v>0</v>
      </c>
      <c r="BB44" s="106">
        <f>'[4]Simulação Real Aberta'!BB84</f>
        <v>0</v>
      </c>
      <c r="BC44" s="106">
        <f>'[4]Simulação Real Aberta'!BC84</f>
        <v>0</v>
      </c>
      <c r="BD44" s="106">
        <f>'[4]Simulação Real Aberta'!BD84</f>
        <v>1575577.35</v>
      </c>
      <c r="BE44" s="106">
        <f>'[4]Simulação Real Aberta'!BE84</f>
        <v>0</v>
      </c>
      <c r="BF44" s="106">
        <f>'[4]Simulação Real Aberta'!BF84</f>
        <v>1575577.35</v>
      </c>
    </row>
    <row r="45" spans="1:58" x14ac:dyDescent="0.25">
      <c r="A45" s="123" t="s">
        <v>159</v>
      </c>
      <c r="B45" s="105">
        <v>1294332.74</v>
      </c>
      <c r="C45" s="106">
        <v>0</v>
      </c>
      <c r="D45" s="105">
        <f t="shared" si="13"/>
        <v>1294332.74</v>
      </c>
      <c r="F45" s="106">
        <f>'[4]Simulação Real Aberta'!F85</f>
        <v>0</v>
      </c>
      <c r="G45" s="106">
        <f>'[4]Simulação Real Aberta'!G85</f>
        <v>0</v>
      </c>
      <c r="H45" s="106">
        <f>'[4]Simulação Real Aberta'!H85</f>
        <v>0</v>
      </c>
      <c r="I45" s="106">
        <f>'[4]Simulação Real Aberta'!I85</f>
        <v>0</v>
      </c>
      <c r="J45" s="106">
        <f>'[4]Simulação Real Aberta'!J85</f>
        <v>0</v>
      </c>
      <c r="K45" s="106">
        <f>'[4]Simulação Real Aberta'!K85</f>
        <v>0</v>
      </c>
      <c r="L45" s="106">
        <f>'[4]Simulação Real Aberta'!L85</f>
        <v>0</v>
      </c>
      <c r="M45" s="106">
        <f>'[4]Simulação Real Aberta'!M85</f>
        <v>0</v>
      </c>
      <c r="N45" s="106">
        <f>'[4]Simulação Real Aberta'!N85</f>
        <v>0</v>
      </c>
      <c r="O45" s="106">
        <f>'[4]Simulação Real Aberta'!O85</f>
        <v>0</v>
      </c>
      <c r="P45" s="106">
        <f>'[4]Simulação Real Aberta'!P85</f>
        <v>0</v>
      </c>
      <c r="Q45" s="106">
        <f>'[4]Simulação Real Aberta'!Q85</f>
        <v>0</v>
      </c>
      <c r="R45" s="106">
        <f>'[4]Simulação Real Aberta'!R85</f>
        <v>0</v>
      </c>
      <c r="S45" s="106">
        <f>'[4]Simulação Real Aberta'!S85</f>
        <v>0</v>
      </c>
      <c r="T45" s="106">
        <f>'[4]Simulação Real Aberta'!T85</f>
        <v>0</v>
      </c>
      <c r="U45" s="106">
        <f>'[4]Simulação Real Aberta'!U85</f>
        <v>0</v>
      </c>
      <c r="V45" s="106">
        <f>'[4]Simulação Real Aberta'!V85</f>
        <v>0</v>
      </c>
      <c r="W45" s="106">
        <f>'[4]Simulação Real Aberta'!W85</f>
        <v>0</v>
      </c>
      <c r="X45" s="106">
        <f>'[4]Simulação Real Aberta'!X85</f>
        <v>0</v>
      </c>
      <c r="Y45" s="106">
        <f>'[4]Simulação Real Aberta'!Y85</f>
        <v>0</v>
      </c>
      <c r="Z45" s="106">
        <f>'[4]Simulação Real Aberta'!Z85</f>
        <v>290330</v>
      </c>
      <c r="AA45" s="106">
        <f>'[4]Simulação Real Aberta'!AA85</f>
        <v>0</v>
      </c>
      <c r="AB45" s="106">
        <f>'[4]Simulação Real Aberta'!AB85</f>
        <v>1004002.74</v>
      </c>
      <c r="AC45" s="106">
        <f>'[4]Simulação Real Aberta'!AC85</f>
        <v>0</v>
      </c>
      <c r="AD45" s="106">
        <f>'[4]Simulação Real Aberta'!AD85</f>
        <v>0</v>
      </c>
      <c r="AE45" s="106">
        <f>'[4]Simulação Real Aberta'!AE85</f>
        <v>0</v>
      </c>
      <c r="AF45" s="106">
        <f>'[4]Simulação Real Aberta'!AF85</f>
        <v>0</v>
      </c>
      <c r="AG45" s="106">
        <f>'[4]Simulação Real Aberta'!AG85</f>
        <v>0</v>
      </c>
      <c r="AH45" s="106">
        <f>'[4]Simulação Real Aberta'!AH85</f>
        <v>1294332.74</v>
      </c>
      <c r="AI45" s="106">
        <f>'[4]Simulação Real Aberta'!AI85</f>
        <v>0</v>
      </c>
      <c r="AJ45" s="106">
        <f>'[4]Simulação Real Aberta'!AJ85</f>
        <v>0</v>
      </c>
      <c r="AK45" s="106">
        <f>'[4]Simulação Real Aberta'!AK85</f>
        <v>0</v>
      </c>
      <c r="AL45" s="106">
        <f>'[4]Simulação Real Aberta'!AL85</f>
        <v>0</v>
      </c>
      <c r="AM45" s="106">
        <f>'[4]Simulação Real Aberta'!AM85</f>
        <v>0</v>
      </c>
      <c r="AN45" s="106">
        <f>'[4]Simulação Real Aberta'!AN85</f>
        <v>0</v>
      </c>
      <c r="AO45" s="106">
        <f>'[4]Simulação Real Aberta'!AO85</f>
        <v>0</v>
      </c>
      <c r="AP45" s="106">
        <f>'[4]Simulação Real Aberta'!AP85</f>
        <v>0</v>
      </c>
      <c r="AQ45" s="106">
        <f>'[4]Simulação Real Aberta'!AQ85</f>
        <v>0</v>
      </c>
      <c r="AR45" s="106">
        <f>'[4]Simulação Real Aberta'!AR85</f>
        <v>0</v>
      </c>
      <c r="AS45" s="106">
        <f>'[4]Simulação Real Aberta'!AS85</f>
        <v>0</v>
      </c>
      <c r="AT45" s="106">
        <f>'[4]Simulação Real Aberta'!AT85</f>
        <v>0</v>
      </c>
      <c r="AU45" s="106">
        <f>'[4]Simulação Real Aberta'!AU85</f>
        <v>0</v>
      </c>
      <c r="AV45" s="106">
        <f>'[4]Simulação Real Aberta'!AV85</f>
        <v>0</v>
      </c>
      <c r="AW45" s="106">
        <f>'[4]Simulação Real Aberta'!AW85</f>
        <v>0</v>
      </c>
      <c r="AX45" s="106">
        <f>'[4]Simulação Real Aberta'!AX85</f>
        <v>0</v>
      </c>
      <c r="AY45" s="106">
        <f>'[4]Simulação Real Aberta'!AY85</f>
        <v>0</v>
      </c>
      <c r="AZ45" s="106">
        <f>'[4]Simulação Real Aberta'!AZ85</f>
        <v>0</v>
      </c>
      <c r="BA45" s="106">
        <f>'[4]Simulação Real Aberta'!BA85</f>
        <v>0</v>
      </c>
      <c r="BB45" s="106">
        <f>'[4]Simulação Real Aberta'!BB85</f>
        <v>0</v>
      </c>
      <c r="BC45" s="106">
        <f>'[4]Simulação Real Aberta'!BC85</f>
        <v>0</v>
      </c>
      <c r="BD45" s="106">
        <f>'[4]Simulação Real Aberta'!BD85</f>
        <v>1294332.74</v>
      </c>
      <c r="BE45" s="106">
        <f>'[4]Simulação Real Aberta'!BE85</f>
        <v>0</v>
      </c>
      <c r="BF45" s="106">
        <f>'[4]Simulação Real Aberta'!BF85</f>
        <v>1294332.74</v>
      </c>
    </row>
    <row r="46" spans="1:58" x14ac:dyDescent="0.25">
      <c r="A46" s="123" t="s">
        <v>160</v>
      </c>
      <c r="B46" s="105">
        <v>1273873.6299999999</v>
      </c>
      <c r="C46" s="106"/>
      <c r="D46" s="105">
        <f t="shared" si="13"/>
        <v>1273873.6299999999</v>
      </c>
      <c r="F46" s="106">
        <f>'[4]Simulação Real Aberta'!F86</f>
        <v>0</v>
      </c>
      <c r="G46" s="106">
        <f>'[4]Simulação Real Aberta'!G86</f>
        <v>0</v>
      </c>
      <c r="H46" s="106">
        <f>'[4]Simulação Real Aberta'!H86</f>
        <v>0</v>
      </c>
      <c r="I46" s="106">
        <f>'[4]Simulação Real Aberta'!I86</f>
        <v>0</v>
      </c>
      <c r="J46" s="106">
        <f>'[4]Simulação Real Aberta'!J86</f>
        <v>0</v>
      </c>
      <c r="K46" s="106">
        <f>'[4]Simulação Real Aberta'!K86</f>
        <v>0</v>
      </c>
      <c r="L46" s="106">
        <f>'[4]Simulação Real Aberta'!L86</f>
        <v>0</v>
      </c>
      <c r="M46" s="106">
        <f>'[4]Simulação Real Aberta'!M86</f>
        <v>0</v>
      </c>
      <c r="N46" s="106">
        <f>'[4]Simulação Real Aberta'!N86</f>
        <v>0</v>
      </c>
      <c r="O46" s="106">
        <f>'[4]Simulação Real Aberta'!O86</f>
        <v>0</v>
      </c>
      <c r="P46" s="106">
        <f>'[4]Simulação Real Aberta'!P86</f>
        <v>0</v>
      </c>
      <c r="Q46" s="106">
        <f>'[4]Simulação Real Aberta'!Q86</f>
        <v>0</v>
      </c>
      <c r="R46" s="106">
        <f>'[4]Simulação Real Aberta'!R86</f>
        <v>0</v>
      </c>
      <c r="S46" s="106">
        <f>'[4]Simulação Real Aberta'!S86</f>
        <v>0</v>
      </c>
      <c r="T46" s="106">
        <f>'[4]Simulação Real Aberta'!T86</f>
        <v>0</v>
      </c>
      <c r="U46" s="106">
        <f>'[4]Simulação Real Aberta'!U86</f>
        <v>0</v>
      </c>
      <c r="V46" s="106">
        <f>'[4]Simulação Real Aberta'!V86</f>
        <v>0</v>
      </c>
      <c r="W46" s="106">
        <f>'[4]Simulação Real Aberta'!W86</f>
        <v>0</v>
      </c>
      <c r="X46" s="106">
        <f>'[4]Simulação Real Aberta'!X86</f>
        <v>0</v>
      </c>
      <c r="Y46" s="106">
        <f>'[4]Simulação Real Aberta'!Y86</f>
        <v>0</v>
      </c>
      <c r="Z46" s="106">
        <f>'[4]Simulação Real Aberta'!Z86</f>
        <v>390500</v>
      </c>
      <c r="AA46" s="106">
        <f>'[4]Simulação Real Aberta'!AA86</f>
        <v>0</v>
      </c>
      <c r="AB46" s="106">
        <f>'[4]Simulação Real Aberta'!AB86</f>
        <v>883373.62999999989</v>
      </c>
      <c r="AC46" s="106">
        <f>'[4]Simulação Real Aberta'!AC86</f>
        <v>0</v>
      </c>
      <c r="AD46" s="106">
        <f>'[4]Simulação Real Aberta'!AD86</f>
        <v>0</v>
      </c>
      <c r="AE46" s="106">
        <f>'[4]Simulação Real Aberta'!AE86</f>
        <v>0</v>
      </c>
      <c r="AF46" s="106">
        <f>'[4]Simulação Real Aberta'!AF86</f>
        <v>0</v>
      </c>
      <c r="AG46" s="106">
        <f>'[4]Simulação Real Aberta'!AG86</f>
        <v>0</v>
      </c>
      <c r="AH46" s="106">
        <f>'[4]Simulação Real Aberta'!AH86</f>
        <v>1273873.6299999999</v>
      </c>
      <c r="AI46" s="106">
        <f>'[4]Simulação Real Aberta'!AI86</f>
        <v>0</v>
      </c>
      <c r="AJ46" s="106">
        <f>'[4]Simulação Real Aberta'!AJ86</f>
        <v>0</v>
      </c>
      <c r="AK46" s="106">
        <f>'[4]Simulação Real Aberta'!AK86</f>
        <v>0</v>
      </c>
      <c r="AL46" s="106">
        <f>'[4]Simulação Real Aberta'!AL86</f>
        <v>0</v>
      </c>
      <c r="AM46" s="106">
        <f>'[4]Simulação Real Aberta'!AM86</f>
        <v>0</v>
      </c>
      <c r="AN46" s="106">
        <f>'[4]Simulação Real Aberta'!AN86</f>
        <v>0</v>
      </c>
      <c r="AO46" s="106">
        <f>'[4]Simulação Real Aberta'!AO86</f>
        <v>0</v>
      </c>
      <c r="AP46" s="106">
        <f>'[4]Simulação Real Aberta'!AP86</f>
        <v>0</v>
      </c>
      <c r="AQ46" s="106">
        <f>'[4]Simulação Real Aberta'!AQ86</f>
        <v>0</v>
      </c>
      <c r="AR46" s="106">
        <f>'[4]Simulação Real Aberta'!AR86</f>
        <v>0</v>
      </c>
      <c r="AS46" s="106">
        <f>'[4]Simulação Real Aberta'!AS86</f>
        <v>0</v>
      </c>
      <c r="AT46" s="106">
        <f>'[4]Simulação Real Aberta'!AT86</f>
        <v>0</v>
      </c>
      <c r="AU46" s="106">
        <f>'[4]Simulação Real Aberta'!AU86</f>
        <v>0</v>
      </c>
      <c r="AV46" s="106">
        <f>'[4]Simulação Real Aberta'!AV86</f>
        <v>0</v>
      </c>
      <c r="AW46" s="106">
        <f>'[4]Simulação Real Aberta'!AW86</f>
        <v>0</v>
      </c>
      <c r="AX46" s="106">
        <f>'[4]Simulação Real Aberta'!AX86</f>
        <v>0</v>
      </c>
      <c r="AY46" s="106">
        <f>'[4]Simulação Real Aberta'!AY86</f>
        <v>0</v>
      </c>
      <c r="AZ46" s="106">
        <f>'[4]Simulação Real Aberta'!AZ86</f>
        <v>0</v>
      </c>
      <c r="BA46" s="106">
        <f>'[4]Simulação Real Aberta'!BA86</f>
        <v>0</v>
      </c>
      <c r="BB46" s="106">
        <f>'[4]Simulação Real Aberta'!BB86</f>
        <v>0</v>
      </c>
      <c r="BC46" s="106">
        <f>'[4]Simulação Real Aberta'!BC86</f>
        <v>0</v>
      </c>
      <c r="BD46" s="106">
        <f>'[4]Simulação Real Aberta'!BD86</f>
        <v>1273873.6299999999</v>
      </c>
      <c r="BE46" s="106">
        <f>'[4]Simulação Real Aberta'!BE86</f>
        <v>0</v>
      </c>
      <c r="BF46" s="106">
        <f>'[4]Simulação Real Aberta'!BF86</f>
        <v>1273873.6299999999</v>
      </c>
    </row>
    <row r="47" spans="1:58" x14ac:dyDescent="0.25">
      <c r="A47" s="162" t="s">
        <v>161</v>
      </c>
      <c r="B47" s="106">
        <f>B48+B49+B50+B51+B52</f>
        <v>0</v>
      </c>
      <c r="C47" s="106">
        <f>C48+C49+C50+C51+C52</f>
        <v>0</v>
      </c>
      <c r="D47" s="106">
        <f t="shared" si="13"/>
        <v>0</v>
      </c>
      <c r="F47" s="106">
        <f>'[4]Simulação Real Aberta'!F87</f>
        <v>0</v>
      </c>
      <c r="G47" s="106">
        <f>'[4]Simulação Real Aberta'!G87</f>
        <v>0</v>
      </c>
      <c r="H47" s="106">
        <f>'[4]Simulação Real Aberta'!H87</f>
        <v>0</v>
      </c>
      <c r="I47" s="106">
        <f>'[4]Simulação Real Aberta'!I87</f>
        <v>0</v>
      </c>
      <c r="J47" s="106">
        <f>'[4]Simulação Real Aberta'!J87</f>
        <v>0</v>
      </c>
      <c r="K47" s="106">
        <f>'[4]Simulação Real Aberta'!K87</f>
        <v>0</v>
      </c>
      <c r="L47" s="106">
        <f>'[4]Simulação Real Aberta'!L87</f>
        <v>0</v>
      </c>
      <c r="M47" s="106">
        <f>'[4]Simulação Real Aberta'!M87</f>
        <v>0</v>
      </c>
      <c r="N47" s="106">
        <f>'[4]Simulação Real Aberta'!N87</f>
        <v>0</v>
      </c>
      <c r="O47" s="106">
        <f>'[4]Simulação Real Aberta'!O87</f>
        <v>0</v>
      </c>
      <c r="P47" s="106">
        <f>'[4]Simulação Real Aberta'!P87</f>
        <v>0</v>
      </c>
      <c r="Q47" s="106">
        <f>'[4]Simulação Real Aberta'!Q87</f>
        <v>0</v>
      </c>
      <c r="R47" s="106">
        <f>'[4]Simulação Real Aberta'!R87</f>
        <v>0</v>
      </c>
      <c r="S47" s="106">
        <f>'[4]Simulação Real Aberta'!S87</f>
        <v>0</v>
      </c>
      <c r="T47" s="106">
        <f>'[4]Simulação Real Aberta'!T87</f>
        <v>0</v>
      </c>
      <c r="U47" s="106">
        <f>'[4]Simulação Real Aberta'!U87</f>
        <v>0</v>
      </c>
      <c r="V47" s="106">
        <f>'[4]Simulação Real Aberta'!V87</f>
        <v>0</v>
      </c>
      <c r="W47" s="106">
        <f>'[4]Simulação Real Aberta'!W87</f>
        <v>0</v>
      </c>
      <c r="X47" s="106">
        <f>'[4]Simulação Real Aberta'!X87</f>
        <v>0</v>
      </c>
      <c r="Y47" s="106">
        <f>'[4]Simulação Real Aberta'!Y87</f>
        <v>0</v>
      </c>
      <c r="Z47" s="106">
        <f>'[4]Simulação Real Aberta'!Z87</f>
        <v>0</v>
      </c>
      <c r="AA47" s="106">
        <f>'[4]Simulação Real Aberta'!AA87</f>
        <v>0</v>
      </c>
      <c r="AB47" s="106">
        <f>'[4]Simulação Real Aberta'!AB87</f>
        <v>0</v>
      </c>
      <c r="AC47" s="106">
        <f>'[4]Simulação Real Aberta'!AC87</f>
        <v>0</v>
      </c>
      <c r="AD47" s="106">
        <f>'[4]Simulação Real Aberta'!AD87</f>
        <v>0</v>
      </c>
      <c r="AE47" s="106">
        <f>'[4]Simulação Real Aberta'!AE87</f>
        <v>0</v>
      </c>
      <c r="AF47" s="106">
        <f>'[4]Simulação Real Aberta'!AF87</f>
        <v>0</v>
      </c>
      <c r="AG47" s="106">
        <f>'[4]Simulação Real Aberta'!AG87</f>
        <v>0</v>
      </c>
      <c r="AH47" s="106">
        <f>'[4]Simulação Real Aberta'!AH87</f>
        <v>0</v>
      </c>
      <c r="AI47" s="106">
        <f>'[4]Simulação Real Aberta'!AI87</f>
        <v>0</v>
      </c>
      <c r="AJ47" s="106">
        <f>'[4]Simulação Real Aberta'!AJ87</f>
        <v>0</v>
      </c>
      <c r="AK47" s="106">
        <f>'[4]Simulação Real Aberta'!AK87</f>
        <v>0</v>
      </c>
      <c r="AL47" s="106">
        <f>'[4]Simulação Real Aberta'!AL87</f>
        <v>0</v>
      </c>
      <c r="AM47" s="106">
        <f>'[4]Simulação Real Aberta'!AM87</f>
        <v>0</v>
      </c>
      <c r="AN47" s="106">
        <f>'[4]Simulação Real Aberta'!AN87</f>
        <v>0</v>
      </c>
      <c r="AO47" s="106">
        <f>'[4]Simulação Real Aberta'!AO87</f>
        <v>0</v>
      </c>
      <c r="AP47" s="106">
        <f>'[4]Simulação Real Aberta'!AP87</f>
        <v>0</v>
      </c>
      <c r="AQ47" s="106">
        <f>'[4]Simulação Real Aberta'!AQ87</f>
        <v>0</v>
      </c>
      <c r="AR47" s="106">
        <f>'[4]Simulação Real Aberta'!AR87</f>
        <v>0</v>
      </c>
      <c r="AS47" s="106">
        <f>'[4]Simulação Real Aberta'!AS87</f>
        <v>0</v>
      </c>
      <c r="AT47" s="106">
        <f>'[4]Simulação Real Aberta'!AT87</f>
        <v>0</v>
      </c>
      <c r="AU47" s="106">
        <f>'[4]Simulação Real Aberta'!AU87</f>
        <v>0</v>
      </c>
      <c r="AV47" s="106">
        <f>'[4]Simulação Real Aberta'!AV87</f>
        <v>0</v>
      </c>
      <c r="AW47" s="106">
        <f>'[4]Simulação Real Aberta'!AW87</f>
        <v>0</v>
      </c>
      <c r="AX47" s="106">
        <f>'[4]Simulação Real Aberta'!AX87</f>
        <v>0</v>
      </c>
      <c r="AY47" s="106">
        <f>'[4]Simulação Real Aberta'!AY87</f>
        <v>0</v>
      </c>
      <c r="AZ47" s="106">
        <f>'[4]Simulação Real Aberta'!AZ87</f>
        <v>0</v>
      </c>
      <c r="BA47" s="106">
        <f>'[4]Simulação Real Aberta'!BA87</f>
        <v>0</v>
      </c>
      <c r="BB47" s="106">
        <f>'[4]Simulação Real Aberta'!BB87</f>
        <v>0</v>
      </c>
      <c r="BC47" s="106">
        <f>'[4]Simulação Real Aberta'!BC87</f>
        <v>0</v>
      </c>
      <c r="BD47" s="106">
        <f>'[4]Simulação Real Aberta'!BD87</f>
        <v>0</v>
      </c>
      <c r="BE47" s="106">
        <f>'[4]Simulação Real Aberta'!BE87</f>
        <v>0</v>
      </c>
      <c r="BF47" s="106">
        <f>'[4]Simulação Real Aberta'!BF87</f>
        <v>0</v>
      </c>
    </row>
    <row r="48" spans="1:58" x14ac:dyDescent="0.25">
      <c r="A48" s="104" t="s">
        <v>155</v>
      </c>
      <c r="B48" s="105">
        <v>0</v>
      </c>
      <c r="C48" s="105">
        <v>0</v>
      </c>
      <c r="D48" s="106">
        <f t="shared" si="13"/>
        <v>0</v>
      </c>
      <c r="F48" s="106">
        <f>'[4]Simulação Real Aberta'!F88</f>
        <v>0</v>
      </c>
      <c r="G48" s="106">
        <f>'[4]Simulação Real Aberta'!G88</f>
        <v>0</v>
      </c>
      <c r="H48" s="106">
        <f>'[4]Simulação Real Aberta'!H88</f>
        <v>0</v>
      </c>
      <c r="I48" s="106">
        <f>'[4]Simulação Real Aberta'!I88</f>
        <v>0</v>
      </c>
      <c r="J48" s="106">
        <f>'[4]Simulação Real Aberta'!J88</f>
        <v>0</v>
      </c>
      <c r="K48" s="106">
        <f>'[4]Simulação Real Aberta'!K88</f>
        <v>0</v>
      </c>
      <c r="L48" s="106">
        <f>'[4]Simulação Real Aberta'!L88</f>
        <v>0</v>
      </c>
      <c r="M48" s="106">
        <f>'[4]Simulação Real Aberta'!M88</f>
        <v>0</v>
      </c>
      <c r="N48" s="106">
        <f>'[4]Simulação Real Aberta'!N88</f>
        <v>0</v>
      </c>
      <c r="O48" s="106">
        <f>'[4]Simulação Real Aberta'!O88</f>
        <v>0</v>
      </c>
      <c r="P48" s="106">
        <f>'[4]Simulação Real Aberta'!P88</f>
        <v>0</v>
      </c>
      <c r="Q48" s="106">
        <f>'[4]Simulação Real Aberta'!Q88</f>
        <v>0</v>
      </c>
      <c r="R48" s="106">
        <f>'[4]Simulação Real Aberta'!R88</f>
        <v>0</v>
      </c>
      <c r="S48" s="106">
        <f>'[4]Simulação Real Aberta'!S88</f>
        <v>0</v>
      </c>
      <c r="T48" s="106">
        <f>'[4]Simulação Real Aberta'!T88</f>
        <v>0</v>
      </c>
      <c r="U48" s="106">
        <f>'[4]Simulação Real Aberta'!U88</f>
        <v>0</v>
      </c>
      <c r="V48" s="106">
        <f>'[4]Simulação Real Aberta'!V88</f>
        <v>0</v>
      </c>
      <c r="W48" s="106">
        <f>'[4]Simulação Real Aberta'!W88</f>
        <v>0</v>
      </c>
      <c r="X48" s="106">
        <f>'[4]Simulação Real Aberta'!X88</f>
        <v>0</v>
      </c>
      <c r="Y48" s="106">
        <f>'[4]Simulação Real Aberta'!Y88</f>
        <v>0</v>
      </c>
      <c r="Z48" s="106">
        <f>'[4]Simulação Real Aberta'!Z88</f>
        <v>0</v>
      </c>
      <c r="AA48" s="106">
        <f>'[4]Simulação Real Aberta'!AA88</f>
        <v>0</v>
      </c>
      <c r="AB48" s="106">
        <f>'[4]Simulação Real Aberta'!AB88</f>
        <v>0</v>
      </c>
      <c r="AC48" s="106">
        <f>'[4]Simulação Real Aberta'!AC88</f>
        <v>0</v>
      </c>
      <c r="AD48" s="106">
        <f>'[4]Simulação Real Aberta'!AD88</f>
        <v>0</v>
      </c>
      <c r="AE48" s="106">
        <f>'[4]Simulação Real Aberta'!AE88</f>
        <v>0</v>
      </c>
      <c r="AF48" s="106">
        <f>'[4]Simulação Real Aberta'!AF88</f>
        <v>0</v>
      </c>
      <c r="AG48" s="106">
        <f>'[4]Simulação Real Aberta'!AG88</f>
        <v>0</v>
      </c>
      <c r="AH48" s="106">
        <f>'[4]Simulação Real Aberta'!AH88</f>
        <v>0</v>
      </c>
      <c r="AI48" s="106">
        <f>'[4]Simulação Real Aberta'!AI88</f>
        <v>0</v>
      </c>
      <c r="AJ48" s="106">
        <f>'[4]Simulação Real Aberta'!AJ88</f>
        <v>0</v>
      </c>
      <c r="AK48" s="106">
        <f>'[4]Simulação Real Aberta'!AK88</f>
        <v>0</v>
      </c>
      <c r="AL48" s="106">
        <f>'[4]Simulação Real Aberta'!AL88</f>
        <v>0</v>
      </c>
      <c r="AM48" s="106">
        <f>'[4]Simulação Real Aberta'!AM88</f>
        <v>0</v>
      </c>
      <c r="AN48" s="106">
        <f>'[4]Simulação Real Aberta'!AN88</f>
        <v>0</v>
      </c>
      <c r="AO48" s="106">
        <f>'[4]Simulação Real Aberta'!AO88</f>
        <v>0</v>
      </c>
      <c r="AP48" s="106">
        <f>'[4]Simulação Real Aberta'!AP88</f>
        <v>0</v>
      </c>
      <c r="AQ48" s="106">
        <f>'[4]Simulação Real Aberta'!AQ88</f>
        <v>0</v>
      </c>
      <c r="AR48" s="106">
        <f>'[4]Simulação Real Aberta'!AR88</f>
        <v>0</v>
      </c>
      <c r="AS48" s="106">
        <f>'[4]Simulação Real Aberta'!AS88</f>
        <v>0</v>
      </c>
      <c r="AT48" s="106">
        <f>'[4]Simulação Real Aberta'!AT88</f>
        <v>0</v>
      </c>
      <c r="AU48" s="106">
        <f>'[4]Simulação Real Aberta'!AU88</f>
        <v>0</v>
      </c>
      <c r="AV48" s="106">
        <f>'[4]Simulação Real Aberta'!AV88</f>
        <v>0</v>
      </c>
      <c r="AW48" s="106">
        <f>'[4]Simulação Real Aberta'!AW88</f>
        <v>0</v>
      </c>
      <c r="AX48" s="106">
        <f>'[4]Simulação Real Aberta'!AX88</f>
        <v>0</v>
      </c>
      <c r="AY48" s="106">
        <f>'[4]Simulação Real Aberta'!AY88</f>
        <v>0</v>
      </c>
      <c r="AZ48" s="106">
        <f>'[4]Simulação Real Aberta'!AZ88</f>
        <v>0</v>
      </c>
      <c r="BA48" s="106">
        <f>'[4]Simulação Real Aberta'!BA88</f>
        <v>0</v>
      </c>
      <c r="BB48" s="106">
        <f>'[4]Simulação Real Aberta'!BB88</f>
        <v>0</v>
      </c>
      <c r="BC48" s="106">
        <f>'[4]Simulação Real Aberta'!BC88</f>
        <v>0</v>
      </c>
      <c r="BD48" s="106">
        <f>'[4]Simulação Real Aberta'!BD88</f>
        <v>0</v>
      </c>
      <c r="BE48" s="106">
        <f>'[4]Simulação Real Aberta'!BE88</f>
        <v>0</v>
      </c>
      <c r="BF48" s="106">
        <f>'[4]Simulação Real Aberta'!BF88</f>
        <v>0</v>
      </c>
    </row>
    <row r="49" spans="1:58" x14ac:dyDescent="0.25">
      <c r="A49" s="104" t="s">
        <v>156</v>
      </c>
      <c r="B49" s="105">
        <v>0</v>
      </c>
      <c r="C49" s="105">
        <v>0</v>
      </c>
      <c r="D49" s="106">
        <f t="shared" si="13"/>
        <v>0</v>
      </c>
      <c r="F49" s="106">
        <f>'[4]Simulação Real Aberta'!F89</f>
        <v>0</v>
      </c>
      <c r="G49" s="106">
        <f>'[4]Simulação Real Aberta'!G89</f>
        <v>0</v>
      </c>
      <c r="H49" s="106">
        <f>'[4]Simulação Real Aberta'!H89</f>
        <v>0</v>
      </c>
      <c r="I49" s="106">
        <f>'[4]Simulação Real Aberta'!I89</f>
        <v>0</v>
      </c>
      <c r="J49" s="106">
        <f>'[4]Simulação Real Aberta'!J89</f>
        <v>0</v>
      </c>
      <c r="K49" s="106">
        <f>'[4]Simulação Real Aberta'!K89</f>
        <v>0</v>
      </c>
      <c r="L49" s="106">
        <f>'[4]Simulação Real Aberta'!L89</f>
        <v>0</v>
      </c>
      <c r="M49" s="106">
        <f>'[4]Simulação Real Aberta'!M89</f>
        <v>0</v>
      </c>
      <c r="N49" s="106">
        <f>'[4]Simulação Real Aberta'!N89</f>
        <v>0</v>
      </c>
      <c r="O49" s="106">
        <f>'[4]Simulação Real Aberta'!O89</f>
        <v>0</v>
      </c>
      <c r="P49" s="106">
        <f>'[4]Simulação Real Aberta'!P89</f>
        <v>0</v>
      </c>
      <c r="Q49" s="106">
        <f>'[4]Simulação Real Aberta'!Q89</f>
        <v>0</v>
      </c>
      <c r="R49" s="106">
        <f>'[4]Simulação Real Aberta'!R89</f>
        <v>0</v>
      </c>
      <c r="S49" s="106">
        <f>'[4]Simulação Real Aberta'!S89</f>
        <v>0</v>
      </c>
      <c r="T49" s="106">
        <f>'[4]Simulação Real Aberta'!T89</f>
        <v>0</v>
      </c>
      <c r="U49" s="106">
        <f>'[4]Simulação Real Aberta'!U89</f>
        <v>0</v>
      </c>
      <c r="V49" s="106">
        <f>'[4]Simulação Real Aberta'!V89</f>
        <v>0</v>
      </c>
      <c r="W49" s="106">
        <f>'[4]Simulação Real Aberta'!W89</f>
        <v>0</v>
      </c>
      <c r="X49" s="106">
        <f>'[4]Simulação Real Aberta'!X89</f>
        <v>0</v>
      </c>
      <c r="Y49" s="106">
        <f>'[4]Simulação Real Aberta'!Y89</f>
        <v>0</v>
      </c>
      <c r="Z49" s="106">
        <f>'[4]Simulação Real Aberta'!Z89</f>
        <v>0</v>
      </c>
      <c r="AA49" s="106">
        <f>'[4]Simulação Real Aberta'!AA89</f>
        <v>0</v>
      </c>
      <c r="AB49" s="106">
        <f>'[4]Simulação Real Aberta'!AB89</f>
        <v>0</v>
      </c>
      <c r="AC49" s="106">
        <f>'[4]Simulação Real Aberta'!AC89</f>
        <v>0</v>
      </c>
      <c r="AD49" s="106">
        <f>'[4]Simulação Real Aberta'!AD89</f>
        <v>0</v>
      </c>
      <c r="AE49" s="106">
        <f>'[4]Simulação Real Aberta'!AE89</f>
        <v>0</v>
      </c>
      <c r="AF49" s="106">
        <f>'[4]Simulação Real Aberta'!AF89</f>
        <v>0</v>
      </c>
      <c r="AG49" s="106">
        <f>'[4]Simulação Real Aberta'!AG89</f>
        <v>0</v>
      </c>
      <c r="AH49" s="106">
        <f>'[4]Simulação Real Aberta'!AH89</f>
        <v>0</v>
      </c>
      <c r="AI49" s="106">
        <f>'[4]Simulação Real Aberta'!AI89</f>
        <v>0</v>
      </c>
      <c r="AJ49" s="106">
        <f>'[4]Simulação Real Aberta'!AJ89</f>
        <v>0</v>
      </c>
      <c r="AK49" s="106">
        <f>'[4]Simulação Real Aberta'!AK89</f>
        <v>0</v>
      </c>
      <c r="AL49" s="106">
        <f>'[4]Simulação Real Aberta'!AL89</f>
        <v>0</v>
      </c>
      <c r="AM49" s="106">
        <f>'[4]Simulação Real Aberta'!AM89</f>
        <v>0</v>
      </c>
      <c r="AN49" s="106">
        <f>'[4]Simulação Real Aberta'!AN89</f>
        <v>0</v>
      </c>
      <c r="AO49" s="106">
        <f>'[4]Simulação Real Aberta'!AO89</f>
        <v>0</v>
      </c>
      <c r="AP49" s="106">
        <f>'[4]Simulação Real Aberta'!AP89</f>
        <v>0</v>
      </c>
      <c r="AQ49" s="106">
        <f>'[4]Simulação Real Aberta'!AQ89</f>
        <v>0</v>
      </c>
      <c r="AR49" s="106">
        <f>'[4]Simulação Real Aberta'!AR89</f>
        <v>0</v>
      </c>
      <c r="AS49" s="106">
        <f>'[4]Simulação Real Aberta'!AS89</f>
        <v>0</v>
      </c>
      <c r="AT49" s="106">
        <f>'[4]Simulação Real Aberta'!AT89</f>
        <v>0</v>
      </c>
      <c r="AU49" s="106">
        <f>'[4]Simulação Real Aberta'!AU89</f>
        <v>0</v>
      </c>
      <c r="AV49" s="106">
        <f>'[4]Simulação Real Aberta'!AV89</f>
        <v>0</v>
      </c>
      <c r="AW49" s="106">
        <f>'[4]Simulação Real Aberta'!AW89</f>
        <v>0</v>
      </c>
      <c r="AX49" s="106">
        <f>'[4]Simulação Real Aberta'!AX89</f>
        <v>0</v>
      </c>
      <c r="AY49" s="106">
        <f>'[4]Simulação Real Aberta'!AY89</f>
        <v>0</v>
      </c>
      <c r="AZ49" s="106">
        <f>'[4]Simulação Real Aberta'!AZ89</f>
        <v>0</v>
      </c>
      <c r="BA49" s="106">
        <f>'[4]Simulação Real Aberta'!BA89</f>
        <v>0</v>
      </c>
      <c r="BB49" s="106">
        <f>'[4]Simulação Real Aberta'!BB89</f>
        <v>0</v>
      </c>
      <c r="BC49" s="106">
        <f>'[4]Simulação Real Aberta'!BC89</f>
        <v>0</v>
      </c>
      <c r="BD49" s="106">
        <f>'[4]Simulação Real Aberta'!BD89</f>
        <v>0</v>
      </c>
      <c r="BE49" s="106">
        <f>'[4]Simulação Real Aberta'!BE89</f>
        <v>0</v>
      </c>
      <c r="BF49" s="106">
        <f>'[4]Simulação Real Aberta'!BF89</f>
        <v>0</v>
      </c>
    </row>
    <row r="50" spans="1:58" x14ac:dyDescent="0.25">
      <c r="A50" s="104" t="s">
        <v>158</v>
      </c>
      <c r="B50" s="105">
        <v>0</v>
      </c>
      <c r="C50" s="105">
        <v>0</v>
      </c>
      <c r="D50" s="106">
        <f t="shared" si="13"/>
        <v>0</v>
      </c>
      <c r="F50" s="106">
        <f>'[4]Simulação Real Aberta'!F90</f>
        <v>0</v>
      </c>
      <c r="G50" s="106">
        <f>'[4]Simulação Real Aberta'!G90</f>
        <v>0</v>
      </c>
      <c r="H50" s="106">
        <f>'[4]Simulação Real Aberta'!H90</f>
        <v>0</v>
      </c>
      <c r="I50" s="106">
        <f>'[4]Simulação Real Aberta'!I90</f>
        <v>0</v>
      </c>
      <c r="J50" s="106">
        <f>'[4]Simulação Real Aberta'!J90</f>
        <v>0</v>
      </c>
      <c r="K50" s="106">
        <f>'[4]Simulação Real Aberta'!K90</f>
        <v>0</v>
      </c>
      <c r="L50" s="106">
        <f>'[4]Simulação Real Aberta'!L90</f>
        <v>0</v>
      </c>
      <c r="M50" s="106">
        <f>'[4]Simulação Real Aberta'!M90</f>
        <v>0</v>
      </c>
      <c r="N50" s="106">
        <f>'[4]Simulação Real Aberta'!N90</f>
        <v>0</v>
      </c>
      <c r="O50" s="106">
        <f>'[4]Simulação Real Aberta'!O90</f>
        <v>0</v>
      </c>
      <c r="P50" s="106">
        <f>'[4]Simulação Real Aberta'!P90</f>
        <v>0</v>
      </c>
      <c r="Q50" s="106">
        <f>'[4]Simulação Real Aberta'!Q90</f>
        <v>0</v>
      </c>
      <c r="R50" s="106">
        <f>'[4]Simulação Real Aberta'!R90</f>
        <v>0</v>
      </c>
      <c r="S50" s="106">
        <f>'[4]Simulação Real Aberta'!S90</f>
        <v>0</v>
      </c>
      <c r="T50" s="106">
        <f>'[4]Simulação Real Aberta'!T90</f>
        <v>0</v>
      </c>
      <c r="U50" s="106">
        <f>'[4]Simulação Real Aberta'!U90</f>
        <v>0</v>
      </c>
      <c r="V50" s="106">
        <f>'[4]Simulação Real Aberta'!V90</f>
        <v>0</v>
      </c>
      <c r="W50" s="106">
        <f>'[4]Simulação Real Aberta'!W90</f>
        <v>0</v>
      </c>
      <c r="X50" s="106">
        <f>'[4]Simulação Real Aberta'!X90</f>
        <v>0</v>
      </c>
      <c r="Y50" s="106">
        <f>'[4]Simulação Real Aberta'!Y90</f>
        <v>0</v>
      </c>
      <c r="Z50" s="106">
        <f>'[4]Simulação Real Aberta'!Z90</f>
        <v>0</v>
      </c>
      <c r="AA50" s="106">
        <f>'[4]Simulação Real Aberta'!AA90</f>
        <v>0</v>
      </c>
      <c r="AB50" s="106">
        <f>'[4]Simulação Real Aberta'!AB90</f>
        <v>0</v>
      </c>
      <c r="AC50" s="106">
        <f>'[4]Simulação Real Aberta'!AC90</f>
        <v>0</v>
      </c>
      <c r="AD50" s="106">
        <f>'[4]Simulação Real Aberta'!AD90</f>
        <v>0</v>
      </c>
      <c r="AE50" s="106">
        <f>'[4]Simulação Real Aberta'!AE90</f>
        <v>0</v>
      </c>
      <c r="AF50" s="106">
        <f>'[4]Simulação Real Aberta'!AF90</f>
        <v>0</v>
      </c>
      <c r="AG50" s="106">
        <f>'[4]Simulação Real Aberta'!AG90</f>
        <v>0</v>
      </c>
      <c r="AH50" s="106">
        <f>'[4]Simulação Real Aberta'!AH90</f>
        <v>0</v>
      </c>
      <c r="AI50" s="106">
        <f>'[4]Simulação Real Aberta'!AI90</f>
        <v>0</v>
      </c>
      <c r="AJ50" s="106">
        <f>'[4]Simulação Real Aberta'!AJ90</f>
        <v>0</v>
      </c>
      <c r="AK50" s="106">
        <f>'[4]Simulação Real Aberta'!AK90</f>
        <v>0</v>
      </c>
      <c r="AL50" s="106">
        <f>'[4]Simulação Real Aberta'!AL90</f>
        <v>0</v>
      </c>
      <c r="AM50" s="106">
        <f>'[4]Simulação Real Aberta'!AM90</f>
        <v>0</v>
      </c>
      <c r="AN50" s="106">
        <f>'[4]Simulação Real Aberta'!AN90</f>
        <v>0</v>
      </c>
      <c r="AO50" s="106">
        <f>'[4]Simulação Real Aberta'!AO90</f>
        <v>0</v>
      </c>
      <c r="AP50" s="106">
        <f>'[4]Simulação Real Aberta'!AP90</f>
        <v>0</v>
      </c>
      <c r="AQ50" s="106">
        <f>'[4]Simulação Real Aberta'!AQ90</f>
        <v>0</v>
      </c>
      <c r="AR50" s="106">
        <f>'[4]Simulação Real Aberta'!AR90</f>
        <v>0</v>
      </c>
      <c r="AS50" s="106">
        <f>'[4]Simulação Real Aberta'!AS90</f>
        <v>0</v>
      </c>
      <c r="AT50" s="106">
        <f>'[4]Simulação Real Aberta'!AT90</f>
        <v>0</v>
      </c>
      <c r="AU50" s="106">
        <f>'[4]Simulação Real Aberta'!AU90</f>
        <v>0</v>
      </c>
      <c r="AV50" s="106">
        <f>'[4]Simulação Real Aberta'!AV90</f>
        <v>0</v>
      </c>
      <c r="AW50" s="106">
        <f>'[4]Simulação Real Aberta'!AW90</f>
        <v>0</v>
      </c>
      <c r="AX50" s="106">
        <f>'[4]Simulação Real Aberta'!AX90</f>
        <v>0</v>
      </c>
      <c r="AY50" s="106">
        <f>'[4]Simulação Real Aberta'!AY90</f>
        <v>0</v>
      </c>
      <c r="AZ50" s="106">
        <f>'[4]Simulação Real Aberta'!AZ90</f>
        <v>0</v>
      </c>
      <c r="BA50" s="106">
        <f>'[4]Simulação Real Aberta'!BA90</f>
        <v>0</v>
      </c>
      <c r="BB50" s="106">
        <f>'[4]Simulação Real Aberta'!BB90</f>
        <v>0</v>
      </c>
      <c r="BC50" s="106">
        <f>'[4]Simulação Real Aberta'!BC90</f>
        <v>0</v>
      </c>
      <c r="BD50" s="106">
        <f>'[4]Simulação Real Aberta'!BD90</f>
        <v>0</v>
      </c>
      <c r="BE50" s="106">
        <f>'[4]Simulação Real Aberta'!BE90</f>
        <v>0</v>
      </c>
      <c r="BF50" s="106">
        <f>'[4]Simulação Real Aberta'!BF90</f>
        <v>0</v>
      </c>
    </row>
    <row r="51" spans="1:58" x14ac:dyDescent="0.25">
      <c r="A51" s="104" t="s">
        <v>159</v>
      </c>
      <c r="B51" s="105">
        <v>0</v>
      </c>
      <c r="C51" s="105">
        <v>0</v>
      </c>
      <c r="D51" s="106">
        <f t="shared" si="13"/>
        <v>0</v>
      </c>
      <c r="F51" s="106">
        <f>'[4]Simulação Real Aberta'!F91</f>
        <v>0</v>
      </c>
      <c r="G51" s="106">
        <f>'[4]Simulação Real Aberta'!G91</f>
        <v>0</v>
      </c>
      <c r="H51" s="106">
        <f>'[4]Simulação Real Aberta'!H91</f>
        <v>0</v>
      </c>
      <c r="I51" s="106">
        <f>'[4]Simulação Real Aberta'!I91</f>
        <v>0</v>
      </c>
      <c r="J51" s="106">
        <f>'[4]Simulação Real Aberta'!J91</f>
        <v>0</v>
      </c>
      <c r="K51" s="106">
        <f>'[4]Simulação Real Aberta'!K91</f>
        <v>0</v>
      </c>
      <c r="L51" s="106">
        <f>'[4]Simulação Real Aberta'!L91</f>
        <v>0</v>
      </c>
      <c r="M51" s="106">
        <f>'[4]Simulação Real Aberta'!M91</f>
        <v>0</v>
      </c>
      <c r="N51" s="106">
        <f>'[4]Simulação Real Aberta'!N91</f>
        <v>0</v>
      </c>
      <c r="O51" s="106">
        <f>'[4]Simulação Real Aberta'!O91</f>
        <v>0</v>
      </c>
      <c r="P51" s="106">
        <f>'[4]Simulação Real Aberta'!P91</f>
        <v>0</v>
      </c>
      <c r="Q51" s="106">
        <f>'[4]Simulação Real Aberta'!Q91</f>
        <v>0</v>
      </c>
      <c r="R51" s="106">
        <f>'[4]Simulação Real Aberta'!R91</f>
        <v>0</v>
      </c>
      <c r="S51" s="106">
        <f>'[4]Simulação Real Aberta'!S91</f>
        <v>0</v>
      </c>
      <c r="T51" s="106">
        <f>'[4]Simulação Real Aberta'!T91</f>
        <v>0</v>
      </c>
      <c r="U51" s="106">
        <f>'[4]Simulação Real Aberta'!U91</f>
        <v>0</v>
      </c>
      <c r="V51" s="106">
        <f>'[4]Simulação Real Aberta'!V91</f>
        <v>0</v>
      </c>
      <c r="W51" s="106">
        <f>'[4]Simulação Real Aberta'!W91</f>
        <v>0</v>
      </c>
      <c r="X51" s="106">
        <f>'[4]Simulação Real Aberta'!X91</f>
        <v>0</v>
      </c>
      <c r="Y51" s="106">
        <f>'[4]Simulação Real Aberta'!Y91</f>
        <v>0</v>
      </c>
      <c r="Z51" s="106">
        <f>'[4]Simulação Real Aberta'!Z91</f>
        <v>0</v>
      </c>
      <c r="AA51" s="106">
        <f>'[4]Simulação Real Aberta'!AA91</f>
        <v>0</v>
      </c>
      <c r="AB51" s="106">
        <f>'[4]Simulação Real Aberta'!AB91</f>
        <v>0</v>
      </c>
      <c r="AC51" s="106">
        <f>'[4]Simulação Real Aberta'!AC91</f>
        <v>0</v>
      </c>
      <c r="AD51" s="106">
        <f>'[4]Simulação Real Aberta'!AD91</f>
        <v>0</v>
      </c>
      <c r="AE51" s="106">
        <f>'[4]Simulação Real Aberta'!AE91</f>
        <v>0</v>
      </c>
      <c r="AF51" s="106">
        <f>'[4]Simulação Real Aberta'!AF91</f>
        <v>0</v>
      </c>
      <c r="AG51" s="106">
        <f>'[4]Simulação Real Aberta'!AG91</f>
        <v>0</v>
      </c>
      <c r="AH51" s="106">
        <f>'[4]Simulação Real Aberta'!AH91</f>
        <v>0</v>
      </c>
      <c r="AI51" s="106">
        <f>'[4]Simulação Real Aberta'!AI91</f>
        <v>0</v>
      </c>
      <c r="AJ51" s="106">
        <f>'[4]Simulação Real Aberta'!AJ91</f>
        <v>0</v>
      </c>
      <c r="AK51" s="106">
        <f>'[4]Simulação Real Aberta'!AK91</f>
        <v>0</v>
      </c>
      <c r="AL51" s="106">
        <f>'[4]Simulação Real Aberta'!AL91</f>
        <v>0</v>
      </c>
      <c r="AM51" s="106">
        <f>'[4]Simulação Real Aberta'!AM91</f>
        <v>0</v>
      </c>
      <c r="AN51" s="106">
        <f>'[4]Simulação Real Aberta'!AN91</f>
        <v>0</v>
      </c>
      <c r="AO51" s="106">
        <f>'[4]Simulação Real Aberta'!AO91</f>
        <v>0</v>
      </c>
      <c r="AP51" s="106">
        <f>'[4]Simulação Real Aberta'!AP91</f>
        <v>0</v>
      </c>
      <c r="AQ51" s="106">
        <f>'[4]Simulação Real Aberta'!AQ91</f>
        <v>0</v>
      </c>
      <c r="AR51" s="106">
        <f>'[4]Simulação Real Aberta'!AR91</f>
        <v>0</v>
      </c>
      <c r="AS51" s="106">
        <f>'[4]Simulação Real Aberta'!AS91</f>
        <v>0</v>
      </c>
      <c r="AT51" s="106">
        <f>'[4]Simulação Real Aberta'!AT91</f>
        <v>0</v>
      </c>
      <c r="AU51" s="106">
        <f>'[4]Simulação Real Aberta'!AU91</f>
        <v>0</v>
      </c>
      <c r="AV51" s="106">
        <f>'[4]Simulação Real Aberta'!AV91</f>
        <v>0</v>
      </c>
      <c r="AW51" s="106">
        <f>'[4]Simulação Real Aberta'!AW91</f>
        <v>0</v>
      </c>
      <c r="AX51" s="106">
        <f>'[4]Simulação Real Aberta'!AX91</f>
        <v>0</v>
      </c>
      <c r="AY51" s="106">
        <f>'[4]Simulação Real Aberta'!AY91</f>
        <v>0</v>
      </c>
      <c r="AZ51" s="106">
        <f>'[4]Simulação Real Aberta'!AZ91</f>
        <v>0</v>
      </c>
      <c r="BA51" s="106">
        <f>'[4]Simulação Real Aberta'!BA91</f>
        <v>0</v>
      </c>
      <c r="BB51" s="106">
        <f>'[4]Simulação Real Aberta'!BB91</f>
        <v>0</v>
      </c>
      <c r="BC51" s="106">
        <f>'[4]Simulação Real Aberta'!BC91</f>
        <v>0</v>
      </c>
      <c r="BD51" s="106">
        <f>'[4]Simulação Real Aberta'!BD91</f>
        <v>0</v>
      </c>
      <c r="BE51" s="106">
        <f>'[4]Simulação Real Aberta'!BE91</f>
        <v>0</v>
      </c>
      <c r="BF51" s="106">
        <f>'[4]Simulação Real Aberta'!BF91</f>
        <v>0</v>
      </c>
    </row>
    <row r="52" spans="1:58" x14ac:dyDescent="0.25">
      <c r="A52" s="104" t="s">
        <v>160</v>
      </c>
      <c r="B52" s="105">
        <v>0</v>
      </c>
      <c r="C52" s="105">
        <v>0</v>
      </c>
      <c r="D52" s="106">
        <f t="shared" si="13"/>
        <v>0</v>
      </c>
      <c r="F52" s="106">
        <f>'[4]Simulação Real Aberta'!F92</f>
        <v>0</v>
      </c>
      <c r="G52" s="106">
        <f>'[4]Simulação Real Aberta'!G92</f>
        <v>0</v>
      </c>
      <c r="H52" s="106">
        <f>'[4]Simulação Real Aberta'!H92</f>
        <v>0</v>
      </c>
      <c r="I52" s="106">
        <f>'[4]Simulação Real Aberta'!I92</f>
        <v>0</v>
      </c>
      <c r="J52" s="106">
        <f>'[4]Simulação Real Aberta'!J92</f>
        <v>0</v>
      </c>
      <c r="K52" s="106">
        <f>'[4]Simulação Real Aberta'!K92</f>
        <v>0</v>
      </c>
      <c r="L52" s="106">
        <f>'[4]Simulação Real Aberta'!L92</f>
        <v>0</v>
      </c>
      <c r="M52" s="106">
        <f>'[4]Simulação Real Aberta'!M92</f>
        <v>0</v>
      </c>
      <c r="N52" s="106">
        <f>'[4]Simulação Real Aberta'!N92</f>
        <v>0</v>
      </c>
      <c r="O52" s="106">
        <f>'[4]Simulação Real Aberta'!O92</f>
        <v>0</v>
      </c>
      <c r="P52" s="106">
        <f>'[4]Simulação Real Aberta'!P92</f>
        <v>0</v>
      </c>
      <c r="Q52" s="106">
        <f>'[4]Simulação Real Aberta'!Q92</f>
        <v>0</v>
      </c>
      <c r="R52" s="106">
        <f>'[4]Simulação Real Aberta'!R92</f>
        <v>0</v>
      </c>
      <c r="S52" s="106">
        <f>'[4]Simulação Real Aberta'!S92</f>
        <v>0</v>
      </c>
      <c r="T52" s="106">
        <f>'[4]Simulação Real Aberta'!T92</f>
        <v>0</v>
      </c>
      <c r="U52" s="106">
        <f>'[4]Simulação Real Aberta'!U92</f>
        <v>0</v>
      </c>
      <c r="V52" s="106">
        <f>'[4]Simulação Real Aberta'!V92</f>
        <v>0</v>
      </c>
      <c r="W52" s="106">
        <f>'[4]Simulação Real Aberta'!W92</f>
        <v>0</v>
      </c>
      <c r="X52" s="106">
        <f>'[4]Simulação Real Aberta'!X92</f>
        <v>0</v>
      </c>
      <c r="Y52" s="106">
        <f>'[4]Simulação Real Aberta'!Y92</f>
        <v>0</v>
      </c>
      <c r="Z52" s="106">
        <f>'[4]Simulação Real Aberta'!Z92</f>
        <v>0</v>
      </c>
      <c r="AA52" s="106">
        <f>'[4]Simulação Real Aberta'!AA92</f>
        <v>0</v>
      </c>
      <c r="AB52" s="106">
        <f>'[4]Simulação Real Aberta'!AB92</f>
        <v>0</v>
      </c>
      <c r="AC52" s="106">
        <f>'[4]Simulação Real Aberta'!AC92</f>
        <v>0</v>
      </c>
      <c r="AD52" s="106">
        <f>'[4]Simulação Real Aberta'!AD92</f>
        <v>0</v>
      </c>
      <c r="AE52" s="106">
        <f>'[4]Simulação Real Aberta'!AE92</f>
        <v>0</v>
      </c>
      <c r="AF52" s="106">
        <f>'[4]Simulação Real Aberta'!AF92</f>
        <v>0</v>
      </c>
      <c r="AG52" s="106">
        <f>'[4]Simulação Real Aberta'!AG92</f>
        <v>0</v>
      </c>
      <c r="AH52" s="106">
        <f>'[4]Simulação Real Aberta'!AH92</f>
        <v>0</v>
      </c>
      <c r="AI52" s="106">
        <f>'[4]Simulação Real Aberta'!AI92</f>
        <v>0</v>
      </c>
      <c r="AJ52" s="106">
        <f>'[4]Simulação Real Aberta'!AJ92</f>
        <v>0</v>
      </c>
      <c r="AK52" s="106">
        <f>'[4]Simulação Real Aberta'!AK92</f>
        <v>0</v>
      </c>
      <c r="AL52" s="106">
        <f>'[4]Simulação Real Aberta'!AL92</f>
        <v>0</v>
      </c>
      <c r="AM52" s="106">
        <f>'[4]Simulação Real Aberta'!AM92</f>
        <v>0</v>
      </c>
      <c r="AN52" s="106">
        <f>'[4]Simulação Real Aberta'!AN92</f>
        <v>0</v>
      </c>
      <c r="AO52" s="106">
        <f>'[4]Simulação Real Aberta'!AO92</f>
        <v>0</v>
      </c>
      <c r="AP52" s="106">
        <f>'[4]Simulação Real Aberta'!AP92</f>
        <v>0</v>
      </c>
      <c r="AQ52" s="106">
        <f>'[4]Simulação Real Aberta'!AQ92</f>
        <v>0</v>
      </c>
      <c r="AR52" s="106">
        <f>'[4]Simulação Real Aberta'!AR92</f>
        <v>0</v>
      </c>
      <c r="AS52" s="106">
        <f>'[4]Simulação Real Aberta'!AS92</f>
        <v>0</v>
      </c>
      <c r="AT52" s="106">
        <f>'[4]Simulação Real Aberta'!AT92</f>
        <v>0</v>
      </c>
      <c r="AU52" s="106">
        <f>'[4]Simulação Real Aberta'!AU92</f>
        <v>0</v>
      </c>
      <c r="AV52" s="106">
        <f>'[4]Simulação Real Aberta'!AV92</f>
        <v>0</v>
      </c>
      <c r="AW52" s="106">
        <f>'[4]Simulação Real Aberta'!AW92</f>
        <v>0</v>
      </c>
      <c r="AX52" s="106">
        <f>'[4]Simulação Real Aberta'!AX92</f>
        <v>0</v>
      </c>
      <c r="AY52" s="106">
        <f>'[4]Simulação Real Aberta'!AY92</f>
        <v>0</v>
      </c>
      <c r="AZ52" s="106">
        <f>'[4]Simulação Real Aberta'!AZ92</f>
        <v>0</v>
      </c>
      <c r="BA52" s="106">
        <f>'[4]Simulação Real Aberta'!BA92</f>
        <v>0</v>
      </c>
      <c r="BB52" s="106">
        <f>'[4]Simulação Real Aberta'!BB92</f>
        <v>0</v>
      </c>
      <c r="BC52" s="106">
        <f>'[4]Simulação Real Aberta'!BC92</f>
        <v>0</v>
      </c>
      <c r="BD52" s="106">
        <f>'[4]Simulação Real Aberta'!BD92</f>
        <v>0</v>
      </c>
      <c r="BE52" s="106">
        <f>'[4]Simulação Real Aberta'!BE92</f>
        <v>0</v>
      </c>
      <c r="BF52" s="106">
        <f>'[4]Simulação Real Aberta'!BF92</f>
        <v>0</v>
      </c>
    </row>
    <row r="53" spans="1:58" x14ac:dyDescent="0.25">
      <c r="A53" s="170" t="s">
        <v>162</v>
      </c>
      <c r="B53" s="101">
        <f>B54+B55+B56+B57+B58+B59+B60+B68</f>
        <v>27109491</v>
      </c>
      <c r="C53" s="101">
        <f>C54+C55+C56+C57+C58+C59+C60+C68</f>
        <v>915000</v>
      </c>
      <c r="D53" s="101">
        <f>B53+C53</f>
        <v>28024491</v>
      </c>
      <c r="F53" s="101">
        <f>'[4]Simulação Real Aberta'!F93</f>
        <v>0</v>
      </c>
      <c r="G53" s="101">
        <f>'[4]Simulação Real Aberta'!G93</f>
        <v>0</v>
      </c>
      <c r="H53" s="101">
        <f>'[4]Simulação Real Aberta'!H93</f>
        <v>0</v>
      </c>
      <c r="I53" s="101">
        <f>'[4]Simulação Real Aberta'!I93</f>
        <v>0</v>
      </c>
      <c r="J53" s="101">
        <f>'[4]Simulação Real Aberta'!J93</f>
        <v>1293800</v>
      </c>
      <c r="K53" s="101">
        <f>'[4]Simulação Real Aberta'!K93</f>
        <v>0</v>
      </c>
      <c r="L53" s="101">
        <f>'[4]Simulação Real Aberta'!L93</f>
        <v>1913393</v>
      </c>
      <c r="M53" s="101">
        <f>'[4]Simulação Real Aberta'!M93</f>
        <v>0</v>
      </c>
      <c r="N53" s="101">
        <f>'[4]Simulação Real Aberta'!N93</f>
        <v>3207193</v>
      </c>
      <c r="O53" s="101">
        <f>'[4]Simulação Real Aberta'!O93</f>
        <v>915000</v>
      </c>
      <c r="P53" s="101">
        <f>'[4]Simulação Real Aberta'!P93</f>
        <v>1692800</v>
      </c>
      <c r="Q53" s="101">
        <f>'[4]Simulação Real Aberta'!Q93</f>
        <v>0</v>
      </c>
      <c r="R53" s="101">
        <f>'[4]Simulação Real Aberta'!R93</f>
        <v>1597800</v>
      </c>
      <c r="S53" s="101">
        <f>'[4]Simulação Real Aberta'!S93</f>
        <v>0</v>
      </c>
      <c r="T53" s="101">
        <f>'[4]Simulação Real Aberta'!T93</f>
        <v>1581950</v>
      </c>
      <c r="U53" s="101">
        <f>'[4]Simulação Real Aberta'!U93</f>
        <v>0</v>
      </c>
      <c r="V53" s="101">
        <f>'[4]Simulação Real Aberta'!V93</f>
        <v>1786610</v>
      </c>
      <c r="W53" s="101">
        <f>'[4]Simulação Real Aberta'!W93</f>
        <v>0</v>
      </c>
      <c r="X53" s="101">
        <f>'[4]Simulação Real Aberta'!X93</f>
        <v>6659160</v>
      </c>
      <c r="Y53" s="101">
        <f>'[4]Simulação Real Aberta'!Y93</f>
        <v>0</v>
      </c>
      <c r="Z53" s="101">
        <f>'[4]Simulação Real Aberta'!Z93</f>
        <v>1786250</v>
      </c>
      <c r="AA53" s="101">
        <f>'[4]Simulação Real Aberta'!AA93</f>
        <v>0</v>
      </c>
      <c r="AB53" s="101">
        <f>'[4]Simulação Real Aberta'!AB93</f>
        <v>1861250</v>
      </c>
      <c r="AC53" s="101">
        <f>'[4]Simulação Real Aberta'!AC93</f>
        <v>0</v>
      </c>
      <c r="AD53" s="101">
        <f>'[4]Simulação Real Aberta'!AD93</f>
        <v>1861250</v>
      </c>
      <c r="AE53" s="101">
        <f>'[4]Simulação Real Aberta'!AE93</f>
        <v>0</v>
      </c>
      <c r="AF53" s="101">
        <f>'[4]Simulação Real Aberta'!AF93</f>
        <v>1936250</v>
      </c>
      <c r="AG53" s="101">
        <f>'[4]Simulação Real Aberta'!AG93</f>
        <v>0</v>
      </c>
      <c r="AH53" s="101">
        <f>'[4]Simulação Real Aberta'!AH93</f>
        <v>7445000</v>
      </c>
      <c r="AI53" s="101">
        <f>'[4]Simulação Real Aberta'!AI93</f>
        <v>0</v>
      </c>
      <c r="AJ53" s="101">
        <f>'[4]Simulação Real Aberta'!AJ93</f>
        <v>1776250</v>
      </c>
      <c r="AK53" s="101">
        <f>'[4]Simulação Real Aberta'!AK93</f>
        <v>0</v>
      </c>
      <c r="AL53" s="101">
        <f>'[4]Simulação Real Aberta'!AL93</f>
        <v>1638789</v>
      </c>
      <c r="AM53" s="101">
        <f>'[4]Simulação Real Aberta'!AM93</f>
        <v>0</v>
      </c>
      <c r="AN53" s="101">
        <f>'[4]Simulação Real Aberta'!AN93</f>
        <v>1076250</v>
      </c>
      <c r="AO53" s="101">
        <f>'[4]Simulação Real Aberta'!AO93</f>
        <v>0</v>
      </c>
      <c r="AP53" s="101">
        <f>'[4]Simulação Real Aberta'!AP93</f>
        <v>1226250</v>
      </c>
      <c r="AQ53" s="101">
        <f>'[4]Simulação Real Aberta'!AQ93</f>
        <v>0</v>
      </c>
      <c r="AR53" s="101">
        <f>'[4]Simulação Real Aberta'!AR93</f>
        <v>5717539</v>
      </c>
      <c r="AS53" s="101">
        <f>'[4]Simulação Real Aberta'!AS93</f>
        <v>0</v>
      </c>
      <c r="AT53" s="101">
        <f>'[4]Simulação Real Aberta'!AT93</f>
        <v>976250</v>
      </c>
      <c r="AU53" s="101">
        <f>'[4]Simulação Real Aberta'!AU93</f>
        <v>0</v>
      </c>
      <c r="AV53" s="101">
        <f>'[4]Simulação Real Aberta'!AV93</f>
        <v>876850</v>
      </c>
      <c r="AW53" s="101">
        <f>'[4]Simulação Real Aberta'!AW93</f>
        <v>0</v>
      </c>
      <c r="AX53" s="101">
        <f>'[4]Simulação Real Aberta'!AX93</f>
        <v>1033750</v>
      </c>
      <c r="AY53" s="101">
        <f>'[4]Simulação Real Aberta'!AY93</f>
        <v>0</v>
      </c>
      <c r="AZ53" s="101">
        <f>'[4]Simulação Real Aberta'!AZ93</f>
        <v>1193750</v>
      </c>
      <c r="BA53" s="101">
        <f>'[4]Simulação Real Aberta'!BA93</f>
        <v>0</v>
      </c>
      <c r="BB53" s="101">
        <f>'[4]Simulação Real Aberta'!BB93</f>
        <v>4080599</v>
      </c>
      <c r="BC53" s="101">
        <f>'[4]Simulação Real Aberta'!BC93</f>
        <v>0</v>
      </c>
      <c r="BD53" s="101">
        <f>'[4]Simulação Real Aberta'!BD93</f>
        <v>27109491</v>
      </c>
      <c r="BE53" s="101">
        <f>'[4]Simulação Real Aberta'!BE93</f>
        <v>915000</v>
      </c>
      <c r="BF53" s="101">
        <f>'[4]Simulação Real Aberta'!BF93</f>
        <v>28024491</v>
      </c>
    </row>
    <row r="54" spans="1:58" x14ac:dyDescent="0.25">
      <c r="A54" s="171" t="s">
        <v>163</v>
      </c>
      <c r="B54" s="172">
        <f>4906000-1</f>
        <v>4905999</v>
      </c>
      <c r="C54" s="172">
        <v>0</v>
      </c>
      <c r="D54" s="105">
        <f>B54+C54</f>
        <v>4905999</v>
      </c>
      <c r="F54" s="106">
        <f>'[4]Simulação Real Aberta'!F94</f>
        <v>0</v>
      </c>
      <c r="G54" s="106">
        <f>'[4]Simulação Real Aberta'!G94</f>
        <v>0</v>
      </c>
      <c r="H54" s="106">
        <f>'[4]Simulação Real Aberta'!H94</f>
        <v>0</v>
      </c>
      <c r="I54" s="106">
        <f>'[4]Simulação Real Aberta'!I94</f>
        <v>0</v>
      </c>
      <c r="J54" s="106">
        <f>'[4]Simulação Real Aberta'!J94</f>
        <v>245300</v>
      </c>
      <c r="K54" s="106">
        <f>'[4]Simulação Real Aberta'!K94</f>
        <v>0</v>
      </c>
      <c r="L54" s="106">
        <f>'[4]Simulação Real Aberta'!L94</f>
        <v>285300</v>
      </c>
      <c r="M54" s="106">
        <f>'[4]Simulação Real Aberta'!M94</f>
        <v>0</v>
      </c>
      <c r="N54" s="106">
        <f>'[4]Simulação Real Aberta'!N94</f>
        <v>530600</v>
      </c>
      <c r="O54" s="106">
        <f>'[4]Simulação Real Aberta'!O94</f>
        <v>0</v>
      </c>
      <c r="P54" s="106">
        <f>'[4]Simulação Real Aberta'!P94</f>
        <v>265300</v>
      </c>
      <c r="Q54" s="106">
        <f>'[4]Simulação Real Aberta'!Q94</f>
        <v>0</v>
      </c>
      <c r="R54" s="106">
        <f>'[4]Simulação Real Aberta'!R94</f>
        <v>265300</v>
      </c>
      <c r="S54" s="106">
        <f>'[4]Simulação Real Aberta'!S94</f>
        <v>0</v>
      </c>
      <c r="T54" s="106">
        <f>'[4]Simulação Real Aberta'!T94</f>
        <v>265300</v>
      </c>
      <c r="U54" s="106">
        <f>'[4]Simulação Real Aberta'!U94</f>
        <v>0</v>
      </c>
      <c r="V54" s="106">
        <f>'[4]Simulação Real Aberta'!V94</f>
        <v>295300</v>
      </c>
      <c r="W54" s="106">
        <f>'[4]Simulação Real Aberta'!W94</f>
        <v>0</v>
      </c>
      <c r="X54" s="106">
        <f>'[4]Simulação Real Aberta'!X94</f>
        <v>1091200</v>
      </c>
      <c r="Y54" s="106">
        <f>'[4]Simulação Real Aberta'!Y94</f>
        <v>0</v>
      </c>
      <c r="Z54" s="106">
        <f>'[4]Simulação Real Aberta'!Z94</f>
        <v>265300</v>
      </c>
      <c r="AA54" s="106">
        <f>'[4]Simulação Real Aberta'!AA94</f>
        <v>0</v>
      </c>
      <c r="AB54" s="106">
        <f>'[4]Simulação Real Aberta'!AB94</f>
        <v>265300</v>
      </c>
      <c r="AC54" s="106">
        <f>'[4]Simulação Real Aberta'!AC94</f>
        <v>0</v>
      </c>
      <c r="AD54" s="106">
        <f>'[4]Simulação Real Aberta'!AD94</f>
        <v>265300</v>
      </c>
      <c r="AE54" s="106">
        <f>'[4]Simulação Real Aberta'!AE94</f>
        <v>0</v>
      </c>
      <c r="AF54" s="106">
        <f>'[4]Simulação Real Aberta'!AF94</f>
        <v>295300</v>
      </c>
      <c r="AG54" s="106">
        <f>'[4]Simulação Real Aberta'!AG94</f>
        <v>0</v>
      </c>
      <c r="AH54" s="106">
        <f>'[4]Simulação Real Aberta'!AH94</f>
        <v>1091200</v>
      </c>
      <c r="AI54" s="106">
        <f>'[4]Simulação Real Aberta'!AI94</f>
        <v>0</v>
      </c>
      <c r="AJ54" s="106">
        <f>'[4]Simulação Real Aberta'!AJ94</f>
        <v>265300</v>
      </c>
      <c r="AK54" s="106">
        <f>'[4]Simulação Real Aberta'!AK94</f>
        <v>0</v>
      </c>
      <c r="AL54" s="106">
        <f>'[4]Simulação Real Aberta'!AL94</f>
        <v>265300</v>
      </c>
      <c r="AM54" s="106">
        <f>'[4]Simulação Real Aberta'!AM94</f>
        <v>0</v>
      </c>
      <c r="AN54" s="106">
        <f>'[4]Simulação Real Aberta'!AN94</f>
        <v>265300</v>
      </c>
      <c r="AO54" s="106">
        <f>'[4]Simulação Real Aberta'!AO94</f>
        <v>0</v>
      </c>
      <c r="AP54" s="106">
        <f>'[4]Simulação Real Aberta'!AP94</f>
        <v>295300</v>
      </c>
      <c r="AQ54" s="106">
        <f>'[4]Simulação Real Aberta'!AQ94</f>
        <v>0</v>
      </c>
      <c r="AR54" s="106">
        <f>'[4]Simulação Real Aberta'!AR94</f>
        <v>1091200</v>
      </c>
      <c r="AS54" s="106">
        <f>'[4]Simulação Real Aberta'!AS94</f>
        <v>0</v>
      </c>
      <c r="AT54" s="106">
        <f>'[4]Simulação Real Aberta'!AT94</f>
        <v>285300</v>
      </c>
      <c r="AU54" s="106">
        <f>'[4]Simulação Real Aberta'!AU94</f>
        <v>0</v>
      </c>
      <c r="AV54" s="106">
        <f>'[4]Simulação Real Aberta'!AV94</f>
        <v>285900</v>
      </c>
      <c r="AW54" s="106">
        <f>'[4]Simulação Real Aberta'!AW94</f>
        <v>0</v>
      </c>
      <c r="AX54" s="106">
        <f>'[4]Simulação Real Aberta'!AX94</f>
        <v>265300</v>
      </c>
      <c r="AY54" s="106">
        <f>'[4]Simulação Real Aberta'!AY94</f>
        <v>0</v>
      </c>
      <c r="AZ54" s="106">
        <f>'[4]Simulação Real Aberta'!AZ94</f>
        <v>265300</v>
      </c>
      <c r="BA54" s="106">
        <f>'[4]Simulação Real Aberta'!BA94</f>
        <v>0</v>
      </c>
      <c r="BB54" s="106">
        <f>'[4]Simulação Real Aberta'!BB94</f>
        <v>1101799</v>
      </c>
      <c r="BC54" s="106">
        <f>'[4]Simulação Real Aberta'!BC94</f>
        <v>0</v>
      </c>
      <c r="BD54" s="106">
        <f>'[4]Simulação Real Aberta'!BD94</f>
        <v>4905999</v>
      </c>
      <c r="BE54" s="106">
        <f>'[4]Simulação Real Aberta'!BE94</f>
        <v>0</v>
      </c>
      <c r="BF54" s="106">
        <f>'[4]Simulação Real Aberta'!BF94</f>
        <v>4905999</v>
      </c>
    </row>
    <row r="55" spans="1:58" x14ac:dyDescent="0.25">
      <c r="A55" s="171" t="s">
        <v>164</v>
      </c>
      <c r="B55" s="172">
        <v>660000</v>
      </c>
      <c r="C55" s="172">
        <v>0</v>
      </c>
      <c r="D55" s="105">
        <f t="shared" ref="D55:D68" si="14">B55+C55</f>
        <v>660000</v>
      </c>
      <c r="F55" s="106">
        <f>'[4]Simulação Real Aberta'!F95</f>
        <v>0</v>
      </c>
      <c r="G55" s="106">
        <f>'[4]Simulação Real Aberta'!G95</f>
        <v>0</v>
      </c>
      <c r="H55" s="106">
        <f>'[4]Simulação Real Aberta'!H95</f>
        <v>0</v>
      </c>
      <c r="I55" s="106">
        <f>'[4]Simulação Real Aberta'!I95</f>
        <v>0</v>
      </c>
      <c r="J55" s="106">
        <f>'[4]Simulação Real Aberta'!J95</f>
        <v>41000</v>
      </c>
      <c r="K55" s="106">
        <f>'[4]Simulação Real Aberta'!K95</f>
        <v>0</v>
      </c>
      <c r="L55" s="106">
        <f>'[4]Simulação Real Aberta'!L95</f>
        <v>50000</v>
      </c>
      <c r="M55" s="106">
        <f>'[4]Simulação Real Aberta'!M95</f>
        <v>0</v>
      </c>
      <c r="N55" s="106">
        <f>'[4]Simulação Real Aberta'!N95</f>
        <v>91000</v>
      </c>
      <c r="O55" s="106">
        <f>'[4]Simulação Real Aberta'!O95</f>
        <v>0</v>
      </c>
      <c r="P55" s="106">
        <f>'[4]Simulação Real Aberta'!P95</f>
        <v>50000</v>
      </c>
      <c r="Q55" s="106">
        <f>'[4]Simulação Real Aberta'!Q95</f>
        <v>0</v>
      </c>
      <c r="R55" s="106">
        <f>'[4]Simulação Real Aberta'!R95</f>
        <v>45000</v>
      </c>
      <c r="S55" s="106">
        <f>'[4]Simulação Real Aberta'!S95</f>
        <v>0</v>
      </c>
      <c r="T55" s="106">
        <f>'[4]Simulação Real Aberta'!T95</f>
        <v>39150</v>
      </c>
      <c r="U55" s="106">
        <f>'[4]Simulação Real Aberta'!U95</f>
        <v>0</v>
      </c>
      <c r="V55" s="106">
        <f>'[4]Simulação Real Aberta'!V95</f>
        <v>33450</v>
      </c>
      <c r="W55" s="106">
        <f>'[4]Simulação Real Aberta'!W95</f>
        <v>0</v>
      </c>
      <c r="X55" s="106">
        <f>'[4]Simulação Real Aberta'!X95</f>
        <v>167600</v>
      </c>
      <c r="Y55" s="106">
        <f>'[4]Simulação Real Aberta'!Y95</f>
        <v>0</v>
      </c>
      <c r="Z55" s="106">
        <f>'[4]Simulação Real Aberta'!Z95</f>
        <v>33450</v>
      </c>
      <c r="AA55" s="106">
        <f>'[4]Simulação Real Aberta'!AA95</f>
        <v>0</v>
      </c>
      <c r="AB55" s="106">
        <f>'[4]Simulação Real Aberta'!AB95</f>
        <v>33450</v>
      </c>
      <c r="AC55" s="106">
        <f>'[4]Simulação Real Aberta'!AC95</f>
        <v>0</v>
      </c>
      <c r="AD55" s="106">
        <f>'[4]Simulação Real Aberta'!AD95</f>
        <v>33450</v>
      </c>
      <c r="AE55" s="106">
        <f>'[4]Simulação Real Aberta'!AE95</f>
        <v>0</v>
      </c>
      <c r="AF55" s="106">
        <f>'[4]Simulação Real Aberta'!AF95</f>
        <v>33450</v>
      </c>
      <c r="AG55" s="106">
        <f>'[4]Simulação Real Aberta'!AG95</f>
        <v>0</v>
      </c>
      <c r="AH55" s="106">
        <f>'[4]Simulação Real Aberta'!AH95</f>
        <v>133800</v>
      </c>
      <c r="AI55" s="106">
        <f>'[4]Simulação Real Aberta'!AI95</f>
        <v>0</v>
      </c>
      <c r="AJ55" s="106">
        <f>'[4]Simulação Real Aberta'!AJ95</f>
        <v>33450</v>
      </c>
      <c r="AK55" s="106">
        <f>'[4]Simulação Real Aberta'!AK95</f>
        <v>0</v>
      </c>
      <c r="AL55" s="106">
        <f>'[4]Simulação Real Aberta'!AL95</f>
        <v>33450</v>
      </c>
      <c r="AM55" s="106">
        <f>'[4]Simulação Real Aberta'!AM95</f>
        <v>0</v>
      </c>
      <c r="AN55" s="106">
        <f>'[4]Simulação Real Aberta'!AN95</f>
        <v>33450</v>
      </c>
      <c r="AO55" s="106">
        <f>'[4]Simulação Real Aberta'!AO95</f>
        <v>0</v>
      </c>
      <c r="AP55" s="106">
        <f>'[4]Simulação Real Aberta'!AP95</f>
        <v>33450</v>
      </c>
      <c r="AQ55" s="106">
        <f>'[4]Simulação Real Aberta'!AQ95</f>
        <v>0</v>
      </c>
      <c r="AR55" s="106">
        <f>'[4]Simulação Real Aberta'!AR95</f>
        <v>133800</v>
      </c>
      <c r="AS55" s="106">
        <f>'[4]Simulação Real Aberta'!AS95</f>
        <v>0</v>
      </c>
      <c r="AT55" s="106">
        <f>'[4]Simulação Real Aberta'!AT95</f>
        <v>33450</v>
      </c>
      <c r="AU55" s="106">
        <f>'[4]Simulação Real Aberta'!AU95</f>
        <v>0</v>
      </c>
      <c r="AV55" s="106">
        <f>'[4]Simulação Real Aberta'!AV95</f>
        <v>33450</v>
      </c>
      <c r="AW55" s="106">
        <f>'[4]Simulação Real Aberta'!AW95</f>
        <v>0</v>
      </c>
      <c r="AX55" s="106">
        <f>'[4]Simulação Real Aberta'!AX95</f>
        <v>33450</v>
      </c>
      <c r="AY55" s="106">
        <f>'[4]Simulação Real Aberta'!AY95</f>
        <v>0</v>
      </c>
      <c r="AZ55" s="106">
        <f>'[4]Simulação Real Aberta'!AZ95</f>
        <v>33450</v>
      </c>
      <c r="BA55" s="106">
        <f>'[4]Simulação Real Aberta'!BA95</f>
        <v>0</v>
      </c>
      <c r="BB55" s="106">
        <f>'[4]Simulação Real Aberta'!BB95</f>
        <v>133800</v>
      </c>
      <c r="BC55" s="106">
        <f>'[4]Simulação Real Aberta'!BC95</f>
        <v>0</v>
      </c>
      <c r="BD55" s="106">
        <f>'[4]Simulação Real Aberta'!BD95</f>
        <v>660000</v>
      </c>
      <c r="BE55" s="106">
        <f>'[4]Simulação Real Aberta'!BE95</f>
        <v>0</v>
      </c>
      <c r="BF55" s="106">
        <f>'[4]Simulação Real Aberta'!BF95</f>
        <v>660000</v>
      </c>
    </row>
    <row r="56" spans="1:58" x14ac:dyDescent="0.25">
      <c r="A56" s="171" t="s">
        <v>165</v>
      </c>
      <c r="B56" s="172">
        <v>13380000</v>
      </c>
      <c r="C56" s="172">
        <v>0</v>
      </c>
      <c r="D56" s="105">
        <f t="shared" si="14"/>
        <v>13380000</v>
      </c>
      <c r="F56" s="106">
        <f>'[4]Simulação Real Aberta'!F96</f>
        <v>0</v>
      </c>
      <c r="G56" s="106">
        <f>'[4]Simulação Real Aberta'!G96</f>
        <v>0</v>
      </c>
      <c r="H56" s="106">
        <f>'[4]Simulação Real Aberta'!H96</f>
        <v>0</v>
      </c>
      <c r="I56" s="106">
        <f>'[4]Simulação Real Aberta'!I96</f>
        <v>0</v>
      </c>
      <c r="J56" s="106">
        <f>'[4]Simulação Real Aberta'!J96</f>
        <v>707500</v>
      </c>
      <c r="K56" s="106">
        <f>'[4]Simulação Real Aberta'!K96</f>
        <v>0</v>
      </c>
      <c r="L56" s="106">
        <f>'[4]Simulação Real Aberta'!L96</f>
        <v>907500</v>
      </c>
      <c r="M56" s="106">
        <f>'[4]Simulação Real Aberta'!M96</f>
        <v>0</v>
      </c>
      <c r="N56" s="106">
        <f>'[4]Simulação Real Aberta'!N96</f>
        <v>1615000</v>
      </c>
      <c r="O56" s="106">
        <f>'[4]Simulação Real Aberta'!O96</f>
        <v>0</v>
      </c>
      <c r="P56" s="106">
        <f>'[4]Simulação Real Aberta'!P96</f>
        <v>877500</v>
      </c>
      <c r="Q56" s="106">
        <f>'[4]Simulação Real Aberta'!Q96</f>
        <v>0</v>
      </c>
      <c r="R56" s="106">
        <f>'[4]Simulação Real Aberta'!R96</f>
        <v>787500</v>
      </c>
      <c r="S56" s="106">
        <f>'[4]Simulação Real Aberta'!S96</f>
        <v>0</v>
      </c>
      <c r="T56" s="106">
        <f>'[4]Simulação Real Aberta'!T96</f>
        <v>777500</v>
      </c>
      <c r="U56" s="106">
        <f>'[4]Simulação Real Aberta'!U96</f>
        <v>0</v>
      </c>
      <c r="V56" s="106">
        <f>'[4]Simulação Real Aberta'!V96</f>
        <v>787500</v>
      </c>
      <c r="W56" s="106">
        <f>'[4]Simulação Real Aberta'!W96</f>
        <v>0</v>
      </c>
      <c r="X56" s="106">
        <f>'[4]Simulação Real Aberta'!X96</f>
        <v>3230000</v>
      </c>
      <c r="Y56" s="106">
        <f>'[4]Simulação Real Aberta'!Y96</f>
        <v>0</v>
      </c>
      <c r="Z56" s="106">
        <f>'[4]Simulação Real Aberta'!Z96</f>
        <v>787500</v>
      </c>
      <c r="AA56" s="106">
        <f>'[4]Simulação Real Aberta'!AA96</f>
        <v>0</v>
      </c>
      <c r="AB56" s="106">
        <f>'[4]Simulação Real Aberta'!AB96</f>
        <v>787500</v>
      </c>
      <c r="AC56" s="106">
        <f>'[4]Simulação Real Aberta'!AC96</f>
        <v>0</v>
      </c>
      <c r="AD56" s="106">
        <f>'[4]Simulação Real Aberta'!AD96</f>
        <v>787500</v>
      </c>
      <c r="AE56" s="106">
        <f>'[4]Simulação Real Aberta'!AE96</f>
        <v>0</v>
      </c>
      <c r="AF56" s="106">
        <f>'[4]Simulação Real Aberta'!AF96</f>
        <v>787500</v>
      </c>
      <c r="AG56" s="106">
        <f>'[4]Simulação Real Aberta'!AG96</f>
        <v>0</v>
      </c>
      <c r="AH56" s="106">
        <f>'[4]Simulação Real Aberta'!AH96</f>
        <v>3150000</v>
      </c>
      <c r="AI56" s="106">
        <f>'[4]Simulação Real Aberta'!AI96</f>
        <v>0</v>
      </c>
      <c r="AJ56" s="106">
        <f>'[4]Simulação Real Aberta'!AJ96</f>
        <v>777500</v>
      </c>
      <c r="AK56" s="106">
        <f>'[4]Simulação Real Aberta'!AK96</f>
        <v>0</v>
      </c>
      <c r="AL56" s="106">
        <f>'[4]Simulação Real Aberta'!AL96</f>
        <v>777500</v>
      </c>
      <c r="AM56" s="106">
        <f>'[4]Simulação Real Aberta'!AM96</f>
        <v>0</v>
      </c>
      <c r="AN56" s="106">
        <f>'[4]Simulação Real Aberta'!AN96</f>
        <v>777500</v>
      </c>
      <c r="AO56" s="106">
        <f>'[4]Simulação Real Aberta'!AO96</f>
        <v>0</v>
      </c>
      <c r="AP56" s="106">
        <f>'[4]Simulação Real Aberta'!AP96</f>
        <v>777500</v>
      </c>
      <c r="AQ56" s="106">
        <f>'[4]Simulação Real Aberta'!AQ96</f>
        <v>0</v>
      </c>
      <c r="AR56" s="106">
        <f>'[4]Simulação Real Aberta'!AR96</f>
        <v>3110000</v>
      </c>
      <c r="AS56" s="106">
        <f>'[4]Simulação Real Aberta'!AS96</f>
        <v>0</v>
      </c>
      <c r="AT56" s="106">
        <f>'[4]Simulação Real Aberta'!AT96</f>
        <v>657500</v>
      </c>
      <c r="AU56" s="106">
        <f>'[4]Simulação Real Aberta'!AU96</f>
        <v>0</v>
      </c>
      <c r="AV56" s="106">
        <f>'[4]Simulação Real Aberta'!AV96</f>
        <v>557500</v>
      </c>
      <c r="AW56" s="106">
        <f>'[4]Simulação Real Aberta'!AW96</f>
        <v>0</v>
      </c>
      <c r="AX56" s="106">
        <f>'[4]Simulação Real Aberta'!AX96</f>
        <v>535000</v>
      </c>
      <c r="AY56" s="106">
        <f>'[4]Simulação Real Aberta'!AY96</f>
        <v>0</v>
      </c>
      <c r="AZ56" s="106">
        <f>'[4]Simulação Real Aberta'!AZ96</f>
        <v>525000</v>
      </c>
      <c r="BA56" s="106">
        <f>'[4]Simulação Real Aberta'!BA96</f>
        <v>0</v>
      </c>
      <c r="BB56" s="106">
        <f>'[4]Simulação Real Aberta'!BB96</f>
        <v>2275000</v>
      </c>
      <c r="BC56" s="106">
        <f>'[4]Simulação Real Aberta'!BC96</f>
        <v>0</v>
      </c>
      <c r="BD56" s="106">
        <f>'[4]Simulação Real Aberta'!BD96</f>
        <v>13380000</v>
      </c>
      <c r="BE56" s="106">
        <f>'[4]Simulação Real Aberta'!BE96</f>
        <v>0</v>
      </c>
      <c r="BF56" s="106">
        <f>'[4]Simulação Real Aberta'!BF96</f>
        <v>13380000</v>
      </c>
    </row>
    <row r="57" spans="1:58" x14ac:dyDescent="0.25">
      <c r="A57" s="123" t="s">
        <v>166</v>
      </c>
      <c r="B57" s="172">
        <v>500000</v>
      </c>
      <c r="C57" s="172">
        <v>0</v>
      </c>
      <c r="D57" s="105">
        <f t="shared" si="14"/>
        <v>500000</v>
      </c>
      <c r="F57" s="106">
        <f>'[4]Simulação Real Aberta'!F97</f>
        <v>0</v>
      </c>
      <c r="G57" s="106">
        <f>'[4]Simulação Real Aberta'!G97</f>
        <v>0</v>
      </c>
      <c r="H57" s="106">
        <f>'[4]Simulação Real Aberta'!H97</f>
        <v>0</v>
      </c>
      <c r="I57" s="106">
        <f>'[4]Simulação Real Aberta'!I97</f>
        <v>0</v>
      </c>
      <c r="J57" s="106">
        <f>'[4]Simulação Real Aberta'!J97</f>
        <v>0</v>
      </c>
      <c r="K57" s="106">
        <f>'[4]Simulação Real Aberta'!K97</f>
        <v>0</v>
      </c>
      <c r="L57" s="106">
        <f>'[4]Simulação Real Aberta'!L97</f>
        <v>0</v>
      </c>
      <c r="M57" s="106">
        <f>'[4]Simulação Real Aberta'!M97</f>
        <v>0</v>
      </c>
      <c r="N57" s="106">
        <f>'[4]Simulação Real Aberta'!N97</f>
        <v>0</v>
      </c>
      <c r="O57" s="106">
        <f>'[4]Simulação Real Aberta'!O97</f>
        <v>0</v>
      </c>
      <c r="P57" s="106">
        <f>'[4]Simulação Real Aberta'!P97</f>
        <v>0</v>
      </c>
      <c r="Q57" s="106">
        <f>'[4]Simulação Real Aberta'!Q97</f>
        <v>0</v>
      </c>
      <c r="R57" s="106">
        <f>'[4]Simulação Real Aberta'!R97</f>
        <v>0</v>
      </c>
      <c r="S57" s="106">
        <f>'[4]Simulação Real Aberta'!S97</f>
        <v>0</v>
      </c>
      <c r="T57" s="106">
        <f>'[4]Simulação Real Aberta'!T97</f>
        <v>0</v>
      </c>
      <c r="U57" s="106">
        <f>'[4]Simulação Real Aberta'!U97</f>
        <v>0</v>
      </c>
      <c r="V57" s="106">
        <f>'[4]Simulação Real Aberta'!V97</f>
        <v>500000</v>
      </c>
      <c r="W57" s="106">
        <f>'[4]Simulação Real Aberta'!W97</f>
        <v>0</v>
      </c>
      <c r="X57" s="106">
        <f>'[4]Simulação Real Aberta'!X97</f>
        <v>500000</v>
      </c>
      <c r="Y57" s="106">
        <f>'[4]Simulação Real Aberta'!Y97</f>
        <v>0</v>
      </c>
      <c r="Z57" s="106">
        <f>'[4]Simulação Real Aberta'!Z97</f>
        <v>0</v>
      </c>
      <c r="AA57" s="106">
        <f>'[4]Simulação Real Aberta'!AA97</f>
        <v>0</v>
      </c>
      <c r="AB57" s="106">
        <f>'[4]Simulação Real Aberta'!AB97</f>
        <v>0</v>
      </c>
      <c r="AC57" s="106">
        <f>'[4]Simulação Real Aberta'!AC97</f>
        <v>0</v>
      </c>
      <c r="AD57" s="106">
        <f>'[4]Simulação Real Aberta'!AD97</f>
        <v>0</v>
      </c>
      <c r="AE57" s="106">
        <f>'[4]Simulação Real Aberta'!AE97</f>
        <v>0</v>
      </c>
      <c r="AF57" s="106">
        <f>'[4]Simulação Real Aberta'!AF97</f>
        <v>0</v>
      </c>
      <c r="AG57" s="106">
        <f>'[4]Simulação Real Aberta'!AG97</f>
        <v>0</v>
      </c>
      <c r="AH57" s="106">
        <f>'[4]Simulação Real Aberta'!AH97</f>
        <v>0</v>
      </c>
      <c r="AI57" s="106">
        <f>'[4]Simulação Real Aberta'!AI97</f>
        <v>0</v>
      </c>
      <c r="AJ57" s="106">
        <f>'[4]Simulação Real Aberta'!AJ97</f>
        <v>0</v>
      </c>
      <c r="AK57" s="106">
        <f>'[4]Simulação Real Aberta'!AK97</f>
        <v>0</v>
      </c>
      <c r="AL57" s="106">
        <f>'[4]Simulação Real Aberta'!AL97</f>
        <v>0</v>
      </c>
      <c r="AM57" s="106">
        <f>'[4]Simulação Real Aberta'!AM97</f>
        <v>0</v>
      </c>
      <c r="AN57" s="106">
        <f>'[4]Simulação Real Aberta'!AN97</f>
        <v>0</v>
      </c>
      <c r="AO57" s="106">
        <f>'[4]Simulação Real Aberta'!AO97</f>
        <v>0</v>
      </c>
      <c r="AP57" s="106">
        <f>'[4]Simulação Real Aberta'!AP97</f>
        <v>0</v>
      </c>
      <c r="AQ57" s="106">
        <f>'[4]Simulação Real Aberta'!AQ97</f>
        <v>0</v>
      </c>
      <c r="AR57" s="106">
        <f>'[4]Simulação Real Aberta'!AR97</f>
        <v>0</v>
      </c>
      <c r="AS57" s="106">
        <f>'[4]Simulação Real Aberta'!AS97</f>
        <v>0</v>
      </c>
      <c r="AT57" s="106">
        <f>'[4]Simulação Real Aberta'!AT97</f>
        <v>0</v>
      </c>
      <c r="AU57" s="106">
        <f>'[4]Simulação Real Aberta'!AU97</f>
        <v>0</v>
      </c>
      <c r="AV57" s="106">
        <f>'[4]Simulação Real Aberta'!AV97</f>
        <v>0</v>
      </c>
      <c r="AW57" s="106">
        <f>'[4]Simulação Real Aberta'!AW97</f>
        <v>0</v>
      </c>
      <c r="AX57" s="106">
        <f>'[4]Simulação Real Aberta'!AX97</f>
        <v>0</v>
      </c>
      <c r="AY57" s="106">
        <f>'[4]Simulação Real Aberta'!AY97</f>
        <v>0</v>
      </c>
      <c r="AZ57" s="106">
        <f>'[4]Simulação Real Aberta'!AZ97</f>
        <v>0</v>
      </c>
      <c r="BA57" s="106">
        <f>'[4]Simulação Real Aberta'!BA97</f>
        <v>0</v>
      </c>
      <c r="BB57" s="106">
        <f>'[4]Simulação Real Aberta'!BB97</f>
        <v>0</v>
      </c>
      <c r="BC57" s="106">
        <f>'[4]Simulação Real Aberta'!BC97</f>
        <v>0</v>
      </c>
      <c r="BD57" s="106">
        <f>'[4]Simulação Real Aberta'!BD97</f>
        <v>500000</v>
      </c>
      <c r="BE57" s="106">
        <f>'[4]Simulação Real Aberta'!BE97</f>
        <v>0</v>
      </c>
      <c r="BF57" s="106">
        <f>'[4]Simulação Real Aberta'!BF97</f>
        <v>500000</v>
      </c>
    </row>
    <row r="58" spans="1:58" x14ac:dyDescent="0.25">
      <c r="A58" s="171" t="s">
        <v>167</v>
      </c>
      <c r="B58" s="172">
        <v>600000</v>
      </c>
      <c r="C58" s="172">
        <v>0</v>
      </c>
      <c r="D58" s="105">
        <f t="shared" si="14"/>
        <v>600000</v>
      </c>
      <c r="F58" s="106">
        <f>'[4]Simulação Real Aberta'!F98</f>
        <v>0</v>
      </c>
      <c r="G58" s="106">
        <f>'[4]Simulação Real Aberta'!G98</f>
        <v>0</v>
      </c>
      <c r="H58" s="106">
        <f>'[4]Simulação Real Aberta'!H98</f>
        <v>0</v>
      </c>
      <c r="I58" s="106">
        <f>'[4]Simulação Real Aberta'!I98</f>
        <v>0</v>
      </c>
      <c r="J58" s="106">
        <f>'[4]Simulação Real Aberta'!J98</f>
        <v>0</v>
      </c>
      <c r="K58" s="106">
        <f>'[4]Simulação Real Aberta'!K98</f>
        <v>0</v>
      </c>
      <c r="L58" s="106">
        <f>'[4]Simulação Real Aberta'!L98</f>
        <v>0</v>
      </c>
      <c r="M58" s="106">
        <f>'[4]Simulação Real Aberta'!M98</f>
        <v>0</v>
      </c>
      <c r="N58" s="106">
        <f>'[4]Simulação Real Aberta'!N98</f>
        <v>0</v>
      </c>
      <c r="O58" s="106">
        <f>'[4]Simulação Real Aberta'!O98</f>
        <v>0</v>
      </c>
      <c r="P58" s="106">
        <f>'[4]Simulação Real Aberta'!P98</f>
        <v>0</v>
      </c>
      <c r="Q58" s="106">
        <f>'[4]Simulação Real Aberta'!Q98</f>
        <v>0</v>
      </c>
      <c r="R58" s="106">
        <f>'[4]Simulação Real Aberta'!R98</f>
        <v>0</v>
      </c>
      <c r="S58" s="106">
        <f>'[4]Simulação Real Aberta'!S98</f>
        <v>0</v>
      </c>
      <c r="T58" s="106">
        <f>'[4]Simulação Real Aberta'!T98</f>
        <v>0</v>
      </c>
      <c r="U58" s="106">
        <f>'[4]Simulação Real Aberta'!U98</f>
        <v>0</v>
      </c>
      <c r="V58" s="106">
        <f>'[4]Simulação Real Aberta'!V98</f>
        <v>0</v>
      </c>
      <c r="W58" s="106">
        <f>'[4]Simulação Real Aberta'!W98</f>
        <v>0</v>
      </c>
      <c r="X58" s="106">
        <f>'[4]Simulação Real Aberta'!X98</f>
        <v>0</v>
      </c>
      <c r="Y58" s="106">
        <f>'[4]Simulação Real Aberta'!Y98</f>
        <v>0</v>
      </c>
      <c r="Z58" s="106">
        <f>'[4]Simulação Real Aberta'!Z98</f>
        <v>0</v>
      </c>
      <c r="AA58" s="106">
        <f>'[4]Simulação Real Aberta'!AA98</f>
        <v>0</v>
      </c>
      <c r="AB58" s="106">
        <f>'[4]Simulação Real Aberta'!AB98</f>
        <v>75000</v>
      </c>
      <c r="AC58" s="106">
        <f>'[4]Simulação Real Aberta'!AC98</f>
        <v>0</v>
      </c>
      <c r="AD58" s="106">
        <f>'[4]Simulação Real Aberta'!AD98</f>
        <v>75000</v>
      </c>
      <c r="AE58" s="106">
        <f>'[4]Simulação Real Aberta'!AE98</f>
        <v>0</v>
      </c>
      <c r="AF58" s="106">
        <f>'[4]Simulação Real Aberta'!AF98</f>
        <v>0</v>
      </c>
      <c r="AG58" s="106">
        <f>'[4]Simulação Real Aberta'!AG98</f>
        <v>0</v>
      </c>
      <c r="AH58" s="106">
        <f>'[4]Simulação Real Aberta'!AH98</f>
        <v>150000</v>
      </c>
      <c r="AI58" s="106">
        <f>'[4]Simulação Real Aberta'!AI98</f>
        <v>0</v>
      </c>
      <c r="AJ58" s="106">
        <f>'[4]Simulação Real Aberta'!AJ98</f>
        <v>0</v>
      </c>
      <c r="AK58" s="106">
        <f>'[4]Simulação Real Aberta'!AK98</f>
        <v>0</v>
      </c>
      <c r="AL58" s="106">
        <f>'[4]Simulação Real Aberta'!AL98</f>
        <v>0</v>
      </c>
      <c r="AM58" s="106">
        <f>'[4]Simulação Real Aberta'!AM98</f>
        <v>0</v>
      </c>
      <c r="AN58" s="106">
        <f>'[4]Simulação Real Aberta'!AN98</f>
        <v>0</v>
      </c>
      <c r="AO58" s="106">
        <f>'[4]Simulação Real Aberta'!AO98</f>
        <v>0</v>
      </c>
      <c r="AP58" s="106">
        <f>'[4]Simulação Real Aberta'!AP98</f>
        <v>0</v>
      </c>
      <c r="AQ58" s="106">
        <f>'[4]Simulação Real Aberta'!AQ98</f>
        <v>0</v>
      </c>
      <c r="AR58" s="106">
        <f>'[4]Simulação Real Aberta'!AR98</f>
        <v>0</v>
      </c>
      <c r="AS58" s="106">
        <f>'[4]Simulação Real Aberta'!AS98</f>
        <v>0</v>
      </c>
      <c r="AT58" s="106">
        <f>'[4]Simulação Real Aberta'!AT98</f>
        <v>0</v>
      </c>
      <c r="AU58" s="106">
        <f>'[4]Simulação Real Aberta'!AU98</f>
        <v>0</v>
      </c>
      <c r="AV58" s="106">
        <f>'[4]Simulação Real Aberta'!AV98</f>
        <v>0</v>
      </c>
      <c r="AW58" s="106">
        <f>'[4]Simulação Real Aberta'!AW98</f>
        <v>0</v>
      </c>
      <c r="AX58" s="106">
        <f>'[4]Simulação Real Aberta'!AX98</f>
        <v>200000</v>
      </c>
      <c r="AY58" s="106">
        <f>'[4]Simulação Real Aberta'!AY98</f>
        <v>0</v>
      </c>
      <c r="AZ58" s="106">
        <f>'[4]Simulação Real Aberta'!AZ98</f>
        <v>250000</v>
      </c>
      <c r="BA58" s="106">
        <f>'[4]Simulação Real Aberta'!BA98</f>
        <v>0</v>
      </c>
      <c r="BB58" s="106">
        <f>'[4]Simulação Real Aberta'!BB98</f>
        <v>450000</v>
      </c>
      <c r="BC58" s="106">
        <f>'[4]Simulação Real Aberta'!BC98</f>
        <v>0</v>
      </c>
      <c r="BD58" s="106">
        <f>'[4]Simulação Real Aberta'!BD98</f>
        <v>600000</v>
      </c>
      <c r="BE58" s="106">
        <f>'[4]Simulação Real Aberta'!BE98</f>
        <v>0</v>
      </c>
      <c r="BF58" s="106">
        <f>'[4]Simulação Real Aberta'!BF98</f>
        <v>600000</v>
      </c>
    </row>
    <row r="59" spans="1:58" x14ac:dyDescent="0.25">
      <c r="A59" s="171" t="s">
        <v>168</v>
      </c>
      <c r="B59" s="172">
        <v>600000</v>
      </c>
      <c r="C59" s="172">
        <v>0</v>
      </c>
      <c r="D59" s="105">
        <f t="shared" si="14"/>
        <v>600000</v>
      </c>
      <c r="F59" s="106">
        <f>'[4]Simulação Real Aberta'!F99</f>
        <v>0</v>
      </c>
      <c r="G59" s="106">
        <f>'[4]Simulação Real Aberta'!G99</f>
        <v>0</v>
      </c>
      <c r="H59" s="106">
        <f>'[4]Simulação Real Aberta'!H99</f>
        <v>0</v>
      </c>
      <c r="I59" s="106">
        <f>'[4]Simulação Real Aberta'!I99</f>
        <v>0</v>
      </c>
      <c r="J59" s="106">
        <f>'[4]Simulação Real Aberta'!J99</f>
        <v>0</v>
      </c>
      <c r="K59" s="106">
        <f>'[4]Simulação Real Aberta'!K99</f>
        <v>0</v>
      </c>
      <c r="L59" s="106">
        <f>'[4]Simulação Real Aberta'!L99</f>
        <v>120000</v>
      </c>
      <c r="M59" s="106">
        <f>'[4]Simulação Real Aberta'!M99</f>
        <v>0</v>
      </c>
      <c r="N59" s="106">
        <f>'[4]Simulação Real Aberta'!N99</f>
        <v>120000</v>
      </c>
      <c r="O59" s="106">
        <f>'[4]Simulação Real Aberta'!O99</f>
        <v>0</v>
      </c>
      <c r="P59" s="106">
        <f>'[4]Simulação Real Aberta'!P99</f>
        <v>0</v>
      </c>
      <c r="Q59" s="106">
        <f>'[4]Simulação Real Aberta'!Q99</f>
        <v>0</v>
      </c>
      <c r="R59" s="106">
        <f>'[4]Simulação Real Aberta'!R99</f>
        <v>0</v>
      </c>
      <c r="S59" s="106">
        <f>'[4]Simulação Real Aberta'!S99</f>
        <v>0</v>
      </c>
      <c r="T59" s="106">
        <f>'[4]Simulação Real Aberta'!T99</f>
        <v>0</v>
      </c>
      <c r="U59" s="106">
        <f>'[4]Simulação Real Aberta'!U99</f>
        <v>0</v>
      </c>
      <c r="V59" s="106">
        <f>'[4]Simulação Real Aberta'!V99</f>
        <v>120000</v>
      </c>
      <c r="W59" s="106">
        <f>'[4]Simulação Real Aberta'!W99</f>
        <v>0</v>
      </c>
      <c r="X59" s="106">
        <f>'[4]Simulação Real Aberta'!X99</f>
        <v>120000</v>
      </c>
      <c r="Y59" s="106">
        <f>'[4]Simulação Real Aberta'!Y99</f>
        <v>0</v>
      </c>
      <c r="Z59" s="106">
        <f>'[4]Simulação Real Aberta'!Z99</f>
        <v>0</v>
      </c>
      <c r="AA59" s="106">
        <f>'[4]Simulação Real Aberta'!AA99</f>
        <v>0</v>
      </c>
      <c r="AB59" s="106">
        <f>'[4]Simulação Real Aberta'!AB99</f>
        <v>0</v>
      </c>
      <c r="AC59" s="106">
        <f>'[4]Simulação Real Aberta'!AC99</f>
        <v>0</v>
      </c>
      <c r="AD59" s="106">
        <f>'[4]Simulação Real Aberta'!AD99</f>
        <v>0</v>
      </c>
      <c r="AE59" s="106">
        <f>'[4]Simulação Real Aberta'!AE99</f>
        <v>0</v>
      </c>
      <c r="AF59" s="106">
        <f>'[4]Simulação Real Aberta'!AF99</f>
        <v>120000</v>
      </c>
      <c r="AG59" s="106">
        <f>'[4]Simulação Real Aberta'!AG99</f>
        <v>0</v>
      </c>
      <c r="AH59" s="106">
        <f>'[4]Simulação Real Aberta'!AH99</f>
        <v>120000</v>
      </c>
      <c r="AI59" s="106">
        <f>'[4]Simulação Real Aberta'!AI99</f>
        <v>0</v>
      </c>
      <c r="AJ59" s="106">
        <f>'[4]Simulação Real Aberta'!AJ99</f>
        <v>0</v>
      </c>
      <c r="AK59" s="106">
        <f>'[4]Simulação Real Aberta'!AK99</f>
        <v>0</v>
      </c>
      <c r="AL59" s="106">
        <f>'[4]Simulação Real Aberta'!AL99</f>
        <v>0</v>
      </c>
      <c r="AM59" s="106">
        <f>'[4]Simulação Real Aberta'!AM99</f>
        <v>0</v>
      </c>
      <c r="AN59" s="106">
        <f>'[4]Simulação Real Aberta'!AN99</f>
        <v>0</v>
      </c>
      <c r="AO59" s="106">
        <f>'[4]Simulação Real Aberta'!AO99</f>
        <v>0</v>
      </c>
      <c r="AP59" s="106">
        <f>'[4]Simulação Real Aberta'!AP99</f>
        <v>120000</v>
      </c>
      <c r="AQ59" s="106">
        <f>'[4]Simulação Real Aberta'!AQ99</f>
        <v>0</v>
      </c>
      <c r="AR59" s="106">
        <f>'[4]Simulação Real Aberta'!AR99</f>
        <v>120000</v>
      </c>
      <c r="AS59" s="106">
        <f>'[4]Simulação Real Aberta'!AS99</f>
        <v>0</v>
      </c>
      <c r="AT59" s="106">
        <f>'[4]Simulação Real Aberta'!AT99</f>
        <v>0</v>
      </c>
      <c r="AU59" s="106">
        <f>'[4]Simulação Real Aberta'!AU99</f>
        <v>0</v>
      </c>
      <c r="AV59" s="106">
        <f>'[4]Simulação Real Aberta'!AV99</f>
        <v>0</v>
      </c>
      <c r="AW59" s="106">
        <f>'[4]Simulação Real Aberta'!AW99</f>
        <v>0</v>
      </c>
      <c r="AX59" s="106">
        <f>'[4]Simulação Real Aberta'!AX99</f>
        <v>0</v>
      </c>
      <c r="AY59" s="106">
        <f>'[4]Simulação Real Aberta'!AY99</f>
        <v>0</v>
      </c>
      <c r="AZ59" s="106">
        <f>'[4]Simulação Real Aberta'!AZ99</f>
        <v>120000</v>
      </c>
      <c r="BA59" s="106">
        <f>'[4]Simulação Real Aberta'!BA99</f>
        <v>0</v>
      </c>
      <c r="BB59" s="106">
        <f>'[4]Simulação Real Aberta'!BB99</f>
        <v>120000</v>
      </c>
      <c r="BC59" s="106">
        <f>'[4]Simulação Real Aberta'!BC99</f>
        <v>0</v>
      </c>
      <c r="BD59" s="106">
        <f>'[4]Simulação Real Aberta'!BD99</f>
        <v>600000</v>
      </c>
      <c r="BE59" s="106">
        <f>'[4]Simulação Real Aberta'!BE99</f>
        <v>0</v>
      </c>
      <c r="BF59" s="106">
        <f>'[4]Simulação Real Aberta'!BF99</f>
        <v>600000</v>
      </c>
    </row>
    <row r="60" spans="1:58" x14ac:dyDescent="0.25">
      <c r="A60" s="158" t="s">
        <v>169</v>
      </c>
      <c r="B60" s="172">
        <f>B61+B62+B63+B64+B65+B66+B67</f>
        <v>0</v>
      </c>
      <c r="C60" s="172">
        <f>C61+C62+C63+C64+C65+C66+C67+C68</f>
        <v>915000</v>
      </c>
      <c r="D60" s="106">
        <f t="shared" si="14"/>
        <v>915000</v>
      </c>
      <c r="F60" s="106">
        <f>'[4]Simulação Real Aberta'!F100</f>
        <v>0</v>
      </c>
      <c r="G60" s="106">
        <f>'[4]Simulação Real Aberta'!G100</f>
        <v>0</v>
      </c>
      <c r="H60" s="106">
        <f>'[4]Simulação Real Aberta'!H100</f>
        <v>0</v>
      </c>
      <c r="I60" s="106">
        <f>'[4]Simulação Real Aberta'!I100</f>
        <v>0</v>
      </c>
      <c r="J60" s="106">
        <f>'[4]Simulação Real Aberta'!J100</f>
        <v>0</v>
      </c>
      <c r="K60" s="106">
        <f>'[4]Simulação Real Aberta'!K100</f>
        <v>0</v>
      </c>
      <c r="L60" s="106">
        <f>'[4]Simulação Real Aberta'!L100</f>
        <v>0</v>
      </c>
      <c r="M60" s="106">
        <f>'[4]Simulação Real Aberta'!M100</f>
        <v>0</v>
      </c>
      <c r="N60" s="106">
        <f>'[4]Simulação Real Aberta'!N100</f>
        <v>0</v>
      </c>
      <c r="O60" s="106">
        <f>'[4]Simulação Real Aberta'!O100</f>
        <v>915000</v>
      </c>
      <c r="P60" s="106">
        <f>'[4]Simulação Real Aberta'!P100</f>
        <v>0</v>
      </c>
      <c r="Q60" s="106">
        <f>'[4]Simulação Real Aberta'!Q100</f>
        <v>0</v>
      </c>
      <c r="R60" s="106">
        <f>'[4]Simulação Real Aberta'!R100</f>
        <v>0</v>
      </c>
      <c r="S60" s="106">
        <f>'[4]Simulação Real Aberta'!S100</f>
        <v>0</v>
      </c>
      <c r="T60" s="106">
        <f>'[4]Simulação Real Aberta'!T100</f>
        <v>0</v>
      </c>
      <c r="U60" s="106">
        <f>'[4]Simulação Real Aberta'!U100</f>
        <v>0</v>
      </c>
      <c r="V60" s="106">
        <f>'[4]Simulação Real Aberta'!V100</f>
        <v>0</v>
      </c>
      <c r="W60" s="106">
        <f>'[4]Simulação Real Aberta'!W100</f>
        <v>0</v>
      </c>
      <c r="X60" s="106">
        <f>'[4]Simulação Real Aberta'!X100</f>
        <v>0</v>
      </c>
      <c r="Y60" s="106">
        <f>'[4]Simulação Real Aberta'!Y100</f>
        <v>0</v>
      </c>
      <c r="Z60" s="106">
        <f>'[4]Simulação Real Aberta'!Z100</f>
        <v>0</v>
      </c>
      <c r="AA60" s="106">
        <f>'[4]Simulação Real Aberta'!AA100</f>
        <v>0</v>
      </c>
      <c r="AB60" s="106">
        <f>'[4]Simulação Real Aberta'!AB100</f>
        <v>0</v>
      </c>
      <c r="AC60" s="106">
        <f>'[4]Simulação Real Aberta'!AC100</f>
        <v>0</v>
      </c>
      <c r="AD60" s="106">
        <f>'[4]Simulação Real Aberta'!AD100</f>
        <v>0</v>
      </c>
      <c r="AE60" s="106">
        <f>'[4]Simulação Real Aberta'!AE100</f>
        <v>0</v>
      </c>
      <c r="AF60" s="106">
        <f>'[4]Simulação Real Aberta'!AF100</f>
        <v>0</v>
      </c>
      <c r="AG60" s="106">
        <f>'[4]Simulação Real Aberta'!AG100</f>
        <v>0</v>
      </c>
      <c r="AH60" s="106">
        <f>'[4]Simulação Real Aberta'!AH100</f>
        <v>0</v>
      </c>
      <c r="AI60" s="106">
        <f>'[4]Simulação Real Aberta'!AI100</f>
        <v>0</v>
      </c>
      <c r="AJ60" s="106">
        <f>'[4]Simulação Real Aberta'!AJ100</f>
        <v>0</v>
      </c>
      <c r="AK60" s="106">
        <f>'[4]Simulação Real Aberta'!AK100</f>
        <v>0</v>
      </c>
      <c r="AL60" s="106">
        <f>'[4]Simulação Real Aberta'!AL100</f>
        <v>0</v>
      </c>
      <c r="AM60" s="106">
        <f>'[4]Simulação Real Aberta'!AM100</f>
        <v>0</v>
      </c>
      <c r="AN60" s="106">
        <f>'[4]Simulação Real Aberta'!AN100</f>
        <v>0</v>
      </c>
      <c r="AO60" s="106">
        <f>'[4]Simulação Real Aberta'!AO100</f>
        <v>0</v>
      </c>
      <c r="AP60" s="106">
        <f>'[4]Simulação Real Aberta'!AP100</f>
        <v>0</v>
      </c>
      <c r="AQ60" s="106">
        <f>'[4]Simulação Real Aberta'!AQ100</f>
        <v>0</v>
      </c>
      <c r="AR60" s="106">
        <f>'[4]Simulação Real Aberta'!AR100</f>
        <v>0</v>
      </c>
      <c r="AS60" s="106">
        <f>'[4]Simulação Real Aberta'!AS100</f>
        <v>0</v>
      </c>
      <c r="AT60" s="106">
        <f>'[4]Simulação Real Aberta'!AT100</f>
        <v>0</v>
      </c>
      <c r="AU60" s="106">
        <f>'[4]Simulação Real Aberta'!AU100</f>
        <v>0</v>
      </c>
      <c r="AV60" s="106">
        <f>'[4]Simulação Real Aberta'!AV100</f>
        <v>0</v>
      </c>
      <c r="AW60" s="106">
        <f>'[4]Simulação Real Aberta'!AW100</f>
        <v>0</v>
      </c>
      <c r="AX60" s="106">
        <f>'[4]Simulação Real Aberta'!AX100</f>
        <v>0</v>
      </c>
      <c r="AY60" s="106">
        <f>'[4]Simulação Real Aberta'!AY100</f>
        <v>0</v>
      </c>
      <c r="AZ60" s="106">
        <f>'[4]Simulação Real Aberta'!AZ100</f>
        <v>0</v>
      </c>
      <c r="BA60" s="106">
        <f>'[4]Simulação Real Aberta'!BA100</f>
        <v>0</v>
      </c>
      <c r="BB60" s="106">
        <f>'[4]Simulação Real Aberta'!BB100</f>
        <v>0</v>
      </c>
      <c r="BC60" s="106">
        <f>'[4]Simulação Real Aberta'!BC100</f>
        <v>0</v>
      </c>
      <c r="BD60" s="106">
        <f>'[4]Simulação Real Aberta'!BD100</f>
        <v>0</v>
      </c>
      <c r="BE60" s="106">
        <f>'[4]Simulação Real Aberta'!BE100</f>
        <v>915000</v>
      </c>
      <c r="BF60" s="106">
        <f>'[4]Simulação Real Aberta'!BF100</f>
        <v>915000</v>
      </c>
    </row>
    <row r="61" spans="1:58" x14ac:dyDescent="0.25">
      <c r="A61" s="104" t="s">
        <v>170</v>
      </c>
      <c r="B61" s="172">
        <v>0</v>
      </c>
      <c r="C61" s="172">
        <v>0</v>
      </c>
      <c r="D61" s="105">
        <f t="shared" si="14"/>
        <v>0</v>
      </c>
      <c r="F61" s="106">
        <f>'[4]Simulação Real Aberta'!F101</f>
        <v>0</v>
      </c>
      <c r="G61" s="106">
        <f>'[4]Simulação Real Aberta'!G101</f>
        <v>0</v>
      </c>
      <c r="H61" s="106">
        <f>'[4]Simulação Real Aberta'!H101</f>
        <v>0</v>
      </c>
      <c r="I61" s="106">
        <f>'[4]Simulação Real Aberta'!I101</f>
        <v>0</v>
      </c>
      <c r="J61" s="106">
        <f>'[4]Simulação Real Aberta'!J101</f>
        <v>0</v>
      </c>
      <c r="K61" s="106">
        <f>'[4]Simulação Real Aberta'!K101</f>
        <v>0</v>
      </c>
      <c r="L61" s="106">
        <f>'[4]Simulação Real Aberta'!L101</f>
        <v>0</v>
      </c>
      <c r="M61" s="106">
        <f>'[4]Simulação Real Aberta'!M101</f>
        <v>0</v>
      </c>
      <c r="N61" s="106">
        <f>'[4]Simulação Real Aberta'!N101</f>
        <v>0</v>
      </c>
      <c r="O61" s="106">
        <f>'[4]Simulação Real Aberta'!O101</f>
        <v>0</v>
      </c>
      <c r="P61" s="106">
        <f>'[4]Simulação Real Aberta'!P101</f>
        <v>0</v>
      </c>
      <c r="Q61" s="106">
        <f>'[4]Simulação Real Aberta'!Q101</f>
        <v>0</v>
      </c>
      <c r="R61" s="106">
        <f>'[4]Simulação Real Aberta'!R101</f>
        <v>0</v>
      </c>
      <c r="S61" s="106">
        <f>'[4]Simulação Real Aberta'!S101</f>
        <v>0</v>
      </c>
      <c r="T61" s="106">
        <f>'[4]Simulação Real Aberta'!T101</f>
        <v>0</v>
      </c>
      <c r="U61" s="106">
        <f>'[4]Simulação Real Aberta'!U101</f>
        <v>0</v>
      </c>
      <c r="V61" s="106">
        <f>'[4]Simulação Real Aberta'!V101</f>
        <v>0</v>
      </c>
      <c r="W61" s="106">
        <f>'[4]Simulação Real Aberta'!W101</f>
        <v>0</v>
      </c>
      <c r="X61" s="106">
        <f>'[4]Simulação Real Aberta'!X101</f>
        <v>0</v>
      </c>
      <c r="Y61" s="106">
        <f>'[4]Simulação Real Aberta'!Y101</f>
        <v>0</v>
      </c>
      <c r="Z61" s="106">
        <f>'[4]Simulação Real Aberta'!Z101</f>
        <v>0</v>
      </c>
      <c r="AA61" s="106">
        <f>'[4]Simulação Real Aberta'!AA101</f>
        <v>0</v>
      </c>
      <c r="AB61" s="106">
        <f>'[4]Simulação Real Aberta'!AB101</f>
        <v>0</v>
      </c>
      <c r="AC61" s="106">
        <f>'[4]Simulação Real Aberta'!AC101</f>
        <v>0</v>
      </c>
      <c r="AD61" s="106">
        <f>'[4]Simulação Real Aberta'!AD101</f>
        <v>0</v>
      </c>
      <c r="AE61" s="106">
        <f>'[4]Simulação Real Aberta'!AE101</f>
        <v>0</v>
      </c>
      <c r="AF61" s="106">
        <f>'[4]Simulação Real Aberta'!AF101</f>
        <v>0</v>
      </c>
      <c r="AG61" s="106">
        <f>'[4]Simulação Real Aberta'!AG101</f>
        <v>0</v>
      </c>
      <c r="AH61" s="106">
        <f>'[4]Simulação Real Aberta'!AH101</f>
        <v>0</v>
      </c>
      <c r="AI61" s="106">
        <f>'[4]Simulação Real Aberta'!AI101</f>
        <v>0</v>
      </c>
      <c r="AJ61" s="106">
        <f>'[4]Simulação Real Aberta'!AJ101</f>
        <v>0</v>
      </c>
      <c r="AK61" s="106">
        <f>'[4]Simulação Real Aberta'!AK101</f>
        <v>0</v>
      </c>
      <c r="AL61" s="106">
        <f>'[4]Simulação Real Aberta'!AL101</f>
        <v>0</v>
      </c>
      <c r="AM61" s="106">
        <f>'[4]Simulação Real Aberta'!AM101</f>
        <v>0</v>
      </c>
      <c r="AN61" s="106">
        <f>'[4]Simulação Real Aberta'!AN101</f>
        <v>0</v>
      </c>
      <c r="AO61" s="106">
        <f>'[4]Simulação Real Aberta'!AO101</f>
        <v>0</v>
      </c>
      <c r="AP61" s="106">
        <f>'[4]Simulação Real Aberta'!AP101</f>
        <v>0</v>
      </c>
      <c r="AQ61" s="106">
        <f>'[4]Simulação Real Aberta'!AQ101</f>
        <v>0</v>
      </c>
      <c r="AR61" s="106">
        <f>'[4]Simulação Real Aberta'!AR101</f>
        <v>0</v>
      </c>
      <c r="AS61" s="106">
        <f>'[4]Simulação Real Aberta'!AS101</f>
        <v>0</v>
      </c>
      <c r="AT61" s="106">
        <f>'[4]Simulação Real Aberta'!AT101</f>
        <v>0</v>
      </c>
      <c r="AU61" s="106">
        <f>'[4]Simulação Real Aberta'!AU101</f>
        <v>0</v>
      </c>
      <c r="AV61" s="106">
        <f>'[4]Simulação Real Aberta'!AV101</f>
        <v>0</v>
      </c>
      <c r="AW61" s="106">
        <f>'[4]Simulação Real Aberta'!AW101</f>
        <v>0</v>
      </c>
      <c r="AX61" s="106">
        <f>'[4]Simulação Real Aberta'!AX101</f>
        <v>0</v>
      </c>
      <c r="AY61" s="106">
        <f>'[4]Simulação Real Aberta'!AY101</f>
        <v>0</v>
      </c>
      <c r="AZ61" s="106">
        <f>'[4]Simulação Real Aberta'!AZ101</f>
        <v>0</v>
      </c>
      <c r="BA61" s="106">
        <f>'[4]Simulação Real Aberta'!BA101</f>
        <v>0</v>
      </c>
      <c r="BB61" s="106">
        <f>'[4]Simulação Real Aberta'!BB101</f>
        <v>0</v>
      </c>
      <c r="BC61" s="106">
        <f>'[4]Simulação Real Aberta'!BC101</f>
        <v>0</v>
      </c>
      <c r="BD61" s="106">
        <f>'[4]Simulação Real Aberta'!BD101</f>
        <v>0</v>
      </c>
      <c r="BE61" s="106">
        <f>'[4]Simulação Real Aberta'!BE101</f>
        <v>0</v>
      </c>
      <c r="BF61" s="106">
        <f>'[4]Simulação Real Aberta'!BF101</f>
        <v>0</v>
      </c>
    </row>
    <row r="62" spans="1:58" x14ac:dyDescent="0.25">
      <c r="A62" s="104" t="s">
        <v>171</v>
      </c>
      <c r="B62" s="172">
        <v>0</v>
      </c>
      <c r="C62" s="172">
        <v>0</v>
      </c>
      <c r="D62" s="105">
        <f t="shared" si="14"/>
        <v>0</v>
      </c>
      <c r="F62" s="106">
        <f>'[4]Simulação Real Aberta'!F102</f>
        <v>0</v>
      </c>
      <c r="G62" s="106">
        <f>'[4]Simulação Real Aberta'!G102</f>
        <v>0</v>
      </c>
      <c r="H62" s="106">
        <f>'[4]Simulação Real Aberta'!H102</f>
        <v>0</v>
      </c>
      <c r="I62" s="106">
        <f>'[4]Simulação Real Aberta'!I102</f>
        <v>0</v>
      </c>
      <c r="J62" s="106">
        <f>'[4]Simulação Real Aberta'!J102</f>
        <v>0</v>
      </c>
      <c r="K62" s="106">
        <f>'[4]Simulação Real Aberta'!K102</f>
        <v>0</v>
      </c>
      <c r="L62" s="106">
        <f>'[4]Simulação Real Aberta'!L102</f>
        <v>0</v>
      </c>
      <c r="M62" s="106">
        <f>'[4]Simulação Real Aberta'!M102</f>
        <v>0</v>
      </c>
      <c r="N62" s="106">
        <f>'[4]Simulação Real Aberta'!N102</f>
        <v>0</v>
      </c>
      <c r="O62" s="106">
        <f>'[4]Simulação Real Aberta'!O102</f>
        <v>0</v>
      </c>
      <c r="P62" s="106">
        <f>'[4]Simulação Real Aberta'!P102</f>
        <v>0</v>
      </c>
      <c r="Q62" s="106">
        <f>'[4]Simulação Real Aberta'!Q102</f>
        <v>0</v>
      </c>
      <c r="R62" s="106">
        <f>'[4]Simulação Real Aberta'!R102</f>
        <v>0</v>
      </c>
      <c r="S62" s="106">
        <f>'[4]Simulação Real Aberta'!S102</f>
        <v>0</v>
      </c>
      <c r="T62" s="106">
        <f>'[4]Simulação Real Aberta'!T102</f>
        <v>0</v>
      </c>
      <c r="U62" s="106">
        <f>'[4]Simulação Real Aberta'!U102</f>
        <v>0</v>
      </c>
      <c r="V62" s="106">
        <f>'[4]Simulação Real Aberta'!V102</f>
        <v>0</v>
      </c>
      <c r="W62" s="106">
        <f>'[4]Simulação Real Aberta'!W102</f>
        <v>0</v>
      </c>
      <c r="X62" s="106">
        <f>'[4]Simulação Real Aberta'!X102</f>
        <v>0</v>
      </c>
      <c r="Y62" s="106">
        <f>'[4]Simulação Real Aberta'!Y102</f>
        <v>0</v>
      </c>
      <c r="Z62" s="106">
        <f>'[4]Simulação Real Aberta'!Z102</f>
        <v>0</v>
      </c>
      <c r="AA62" s="106">
        <f>'[4]Simulação Real Aberta'!AA102</f>
        <v>0</v>
      </c>
      <c r="AB62" s="106">
        <f>'[4]Simulação Real Aberta'!AB102</f>
        <v>0</v>
      </c>
      <c r="AC62" s="106">
        <f>'[4]Simulação Real Aberta'!AC102</f>
        <v>0</v>
      </c>
      <c r="AD62" s="106">
        <f>'[4]Simulação Real Aberta'!AD102</f>
        <v>0</v>
      </c>
      <c r="AE62" s="106">
        <f>'[4]Simulação Real Aberta'!AE102</f>
        <v>0</v>
      </c>
      <c r="AF62" s="106">
        <f>'[4]Simulação Real Aberta'!AF102</f>
        <v>0</v>
      </c>
      <c r="AG62" s="106">
        <f>'[4]Simulação Real Aberta'!AG102</f>
        <v>0</v>
      </c>
      <c r="AH62" s="106">
        <f>'[4]Simulação Real Aberta'!AH102</f>
        <v>0</v>
      </c>
      <c r="AI62" s="106">
        <f>'[4]Simulação Real Aberta'!AI102</f>
        <v>0</v>
      </c>
      <c r="AJ62" s="106">
        <f>'[4]Simulação Real Aberta'!AJ102</f>
        <v>0</v>
      </c>
      <c r="AK62" s="106">
        <f>'[4]Simulação Real Aberta'!AK102</f>
        <v>0</v>
      </c>
      <c r="AL62" s="106">
        <f>'[4]Simulação Real Aberta'!AL102</f>
        <v>0</v>
      </c>
      <c r="AM62" s="106">
        <f>'[4]Simulação Real Aberta'!AM102</f>
        <v>0</v>
      </c>
      <c r="AN62" s="106">
        <f>'[4]Simulação Real Aberta'!AN102</f>
        <v>0</v>
      </c>
      <c r="AO62" s="106">
        <f>'[4]Simulação Real Aberta'!AO102</f>
        <v>0</v>
      </c>
      <c r="AP62" s="106">
        <f>'[4]Simulação Real Aberta'!AP102</f>
        <v>0</v>
      </c>
      <c r="AQ62" s="106">
        <f>'[4]Simulação Real Aberta'!AQ102</f>
        <v>0</v>
      </c>
      <c r="AR62" s="106">
        <f>'[4]Simulação Real Aberta'!AR102</f>
        <v>0</v>
      </c>
      <c r="AS62" s="106">
        <f>'[4]Simulação Real Aberta'!AS102</f>
        <v>0</v>
      </c>
      <c r="AT62" s="106">
        <f>'[4]Simulação Real Aberta'!AT102</f>
        <v>0</v>
      </c>
      <c r="AU62" s="106">
        <f>'[4]Simulação Real Aberta'!AU102</f>
        <v>0</v>
      </c>
      <c r="AV62" s="106">
        <f>'[4]Simulação Real Aberta'!AV102</f>
        <v>0</v>
      </c>
      <c r="AW62" s="106">
        <f>'[4]Simulação Real Aberta'!AW102</f>
        <v>0</v>
      </c>
      <c r="AX62" s="106">
        <f>'[4]Simulação Real Aberta'!AX102</f>
        <v>0</v>
      </c>
      <c r="AY62" s="106">
        <f>'[4]Simulação Real Aberta'!AY102</f>
        <v>0</v>
      </c>
      <c r="AZ62" s="106">
        <f>'[4]Simulação Real Aberta'!AZ102</f>
        <v>0</v>
      </c>
      <c r="BA62" s="106">
        <f>'[4]Simulação Real Aberta'!BA102</f>
        <v>0</v>
      </c>
      <c r="BB62" s="106">
        <f>'[4]Simulação Real Aberta'!BB102</f>
        <v>0</v>
      </c>
      <c r="BC62" s="106">
        <f>'[4]Simulação Real Aberta'!BC102</f>
        <v>0</v>
      </c>
      <c r="BD62" s="106">
        <f>'[4]Simulação Real Aberta'!BD102</f>
        <v>0</v>
      </c>
      <c r="BE62" s="106">
        <f>'[4]Simulação Real Aberta'!BE102</f>
        <v>0</v>
      </c>
      <c r="BF62" s="106">
        <f>'[4]Simulação Real Aberta'!BF102</f>
        <v>0</v>
      </c>
    </row>
    <row r="63" spans="1:58" x14ac:dyDescent="0.25">
      <c r="A63" s="104" t="s">
        <v>172</v>
      </c>
      <c r="B63" s="172">
        <v>0</v>
      </c>
      <c r="C63" s="172">
        <v>0</v>
      </c>
      <c r="D63" s="105">
        <f t="shared" si="14"/>
        <v>0</v>
      </c>
      <c r="F63" s="106">
        <f>'[4]Simulação Real Aberta'!F103</f>
        <v>0</v>
      </c>
      <c r="G63" s="106">
        <f>'[4]Simulação Real Aberta'!G103</f>
        <v>0</v>
      </c>
      <c r="H63" s="106">
        <f>'[4]Simulação Real Aberta'!H103</f>
        <v>0</v>
      </c>
      <c r="I63" s="106">
        <f>'[4]Simulação Real Aberta'!I103</f>
        <v>0</v>
      </c>
      <c r="J63" s="106">
        <f>'[4]Simulação Real Aberta'!J103</f>
        <v>0</v>
      </c>
      <c r="K63" s="106">
        <f>'[4]Simulação Real Aberta'!K103</f>
        <v>0</v>
      </c>
      <c r="L63" s="106">
        <f>'[4]Simulação Real Aberta'!L103</f>
        <v>0</v>
      </c>
      <c r="M63" s="106">
        <f>'[4]Simulação Real Aberta'!M103</f>
        <v>0</v>
      </c>
      <c r="N63" s="106">
        <f>'[4]Simulação Real Aberta'!N103</f>
        <v>0</v>
      </c>
      <c r="O63" s="106">
        <f>'[4]Simulação Real Aberta'!O103</f>
        <v>0</v>
      </c>
      <c r="P63" s="106">
        <f>'[4]Simulação Real Aberta'!P103</f>
        <v>0</v>
      </c>
      <c r="Q63" s="106">
        <f>'[4]Simulação Real Aberta'!Q103</f>
        <v>0</v>
      </c>
      <c r="R63" s="106">
        <f>'[4]Simulação Real Aberta'!R103</f>
        <v>0</v>
      </c>
      <c r="S63" s="106">
        <f>'[4]Simulação Real Aberta'!S103</f>
        <v>0</v>
      </c>
      <c r="T63" s="106">
        <f>'[4]Simulação Real Aberta'!T103</f>
        <v>0</v>
      </c>
      <c r="U63" s="106">
        <f>'[4]Simulação Real Aberta'!U103</f>
        <v>0</v>
      </c>
      <c r="V63" s="106">
        <f>'[4]Simulação Real Aberta'!V103</f>
        <v>0</v>
      </c>
      <c r="W63" s="106">
        <f>'[4]Simulação Real Aberta'!W103</f>
        <v>0</v>
      </c>
      <c r="X63" s="106">
        <f>'[4]Simulação Real Aberta'!X103</f>
        <v>0</v>
      </c>
      <c r="Y63" s="106">
        <f>'[4]Simulação Real Aberta'!Y103</f>
        <v>0</v>
      </c>
      <c r="Z63" s="106">
        <f>'[4]Simulação Real Aberta'!Z103</f>
        <v>0</v>
      </c>
      <c r="AA63" s="106">
        <f>'[4]Simulação Real Aberta'!AA103</f>
        <v>0</v>
      </c>
      <c r="AB63" s="106">
        <f>'[4]Simulação Real Aberta'!AB103</f>
        <v>0</v>
      </c>
      <c r="AC63" s="106">
        <f>'[4]Simulação Real Aberta'!AC103</f>
        <v>0</v>
      </c>
      <c r="AD63" s="106">
        <f>'[4]Simulação Real Aberta'!AD103</f>
        <v>0</v>
      </c>
      <c r="AE63" s="106">
        <f>'[4]Simulação Real Aberta'!AE103</f>
        <v>0</v>
      </c>
      <c r="AF63" s="106">
        <f>'[4]Simulação Real Aberta'!AF103</f>
        <v>0</v>
      </c>
      <c r="AG63" s="106">
        <f>'[4]Simulação Real Aberta'!AG103</f>
        <v>0</v>
      </c>
      <c r="AH63" s="106">
        <f>'[4]Simulação Real Aberta'!AH103</f>
        <v>0</v>
      </c>
      <c r="AI63" s="106">
        <f>'[4]Simulação Real Aberta'!AI103</f>
        <v>0</v>
      </c>
      <c r="AJ63" s="106">
        <f>'[4]Simulação Real Aberta'!AJ103</f>
        <v>0</v>
      </c>
      <c r="AK63" s="106">
        <f>'[4]Simulação Real Aberta'!AK103</f>
        <v>0</v>
      </c>
      <c r="AL63" s="106">
        <f>'[4]Simulação Real Aberta'!AL103</f>
        <v>0</v>
      </c>
      <c r="AM63" s="106">
        <f>'[4]Simulação Real Aberta'!AM103</f>
        <v>0</v>
      </c>
      <c r="AN63" s="106">
        <f>'[4]Simulação Real Aberta'!AN103</f>
        <v>0</v>
      </c>
      <c r="AO63" s="106">
        <f>'[4]Simulação Real Aberta'!AO103</f>
        <v>0</v>
      </c>
      <c r="AP63" s="106">
        <f>'[4]Simulação Real Aberta'!AP103</f>
        <v>0</v>
      </c>
      <c r="AQ63" s="106">
        <f>'[4]Simulação Real Aberta'!AQ103</f>
        <v>0</v>
      </c>
      <c r="AR63" s="106">
        <f>'[4]Simulação Real Aberta'!AR103</f>
        <v>0</v>
      </c>
      <c r="AS63" s="106">
        <f>'[4]Simulação Real Aberta'!AS103</f>
        <v>0</v>
      </c>
      <c r="AT63" s="106">
        <f>'[4]Simulação Real Aberta'!AT103</f>
        <v>0</v>
      </c>
      <c r="AU63" s="106">
        <f>'[4]Simulação Real Aberta'!AU103</f>
        <v>0</v>
      </c>
      <c r="AV63" s="106">
        <f>'[4]Simulação Real Aberta'!AV103</f>
        <v>0</v>
      </c>
      <c r="AW63" s="106">
        <f>'[4]Simulação Real Aberta'!AW103</f>
        <v>0</v>
      </c>
      <c r="AX63" s="106">
        <f>'[4]Simulação Real Aberta'!AX103</f>
        <v>0</v>
      </c>
      <c r="AY63" s="106">
        <f>'[4]Simulação Real Aberta'!AY103</f>
        <v>0</v>
      </c>
      <c r="AZ63" s="106">
        <f>'[4]Simulação Real Aberta'!AZ103</f>
        <v>0</v>
      </c>
      <c r="BA63" s="106">
        <f>'[4]Simulação Real Aberta'!BA103</f>
        <v>0</v>
      </c>
      <c r="BB63" s="106">
        <f>'[4]Simulação Real Aberta'!BB103</f>
        <v>0</v>
      </c>
      <c r="BC63" s="106">
        <f>'[4]Simulação Real Aberta'!BC103</f>
        <v>0</v>
      </c>
      <c r="BD63" s="106">
        <f>'[4]Simulação Real Aberta'!BD103</f>
        <v>0</v>
      </c>
      <c r="BE63" s="106">
        <f>'[4]Simulação Real Aberta'!BE103</f>
        <v>0</v>
      </c>
      <c r="BF63" s="106">
        <f>'[4]Simulação Real Aberta'!BF103</f>
        <v>0</v>
      </c>
    </row>
    <row r="64" spans="1:58" x14ac:dyDescent="0.25">
      <c r="A64" s="104" t="s">
        <v>173</v>
      </c>
      <c r="B64" s="172">
        <v>0</v>
      </c>
      <c r="C64" s="172">
        <v>0</v>
      </c>
      <c r="D64" s="105">
        <f t="shared" si="14"/>
        <v>0</v>
      </c>
      <c r="F64" s="106">
        <f>'[4]Simulação Real Aberta'!F104</f>
        <v>0</v>
      </c>
      <c r="G64" s="106">
        <f>'[4]Simulação Real Aberta'!G104</f>
        <v>0</v>
      </c>
      <c r="H64" s="106">
        <f>'[4]Simulação Real Aberta'!H104</f>
        <v>0</v>
      </c>
      <c r="I64" s="106">
        <f>'[4]Simulação Real Aberta'!I104</f>
        <v>0</v>
      </c>
      <c r="J64" s="106">
        <f>'[4]Simulação Real Aberta'!J104</f>
        <v>0</v>
      </c>
      <c r="K64" s="106">
        <f>'[4]Simulação Real Aberta'!K104</f>
        <v>0</v>
      </c>
      <c r="L64" s="106">
        <f>'[4]Simulação Real Aberta'!L104</f>
        <v>0</v>
      </c>
      <c r="M64" s="106">
        <f>'[4]Simulação Real Aberta'!M104</f>
        <v>0</v>
      </c>
      <c r="N64" s="106">
        <f>'[4]Simulação Real Aberta'!N104</f>
        <v>0</v>
      </c>
      <c r="O64" s="106">
        <f>'[4]Simulação Real Aberta'!O104</f>
        <v>0</v>
      </c>
      <c r="P64" s="106">
        <f>'[4]Simulação Real Aberta'!P104</f>
        <v>0</v>
      </c>
      <c r="Q64" s="106">
        <f>'[4]Simulação Real Aberta'!Q104</f>
        <v>0</v>
      </c>
      <c r="R64" s="106">
        <f>'[4]Simulação Real Aberta'!R104</f>
        <v>0</v>
      </c>
      <c r="S64" s="106">
        <f>'[4]Simulação Real Aberta'!S104</f>
        <v>0</v>
      </c>
      <c r="T64" s="106">
        <f>'[4]Simulação Real Aberta'!T104</f>
        <v>0</v>
      </c>
      <c r="U64" s="106">
        <f>'[4]Simulação Real Aberta'!U104</f>
        <v>0</v>
      </c>
      <c r="V64" s="106">
        <f>'[4]Simulação Real Aberta'!V104</f>
        <v>0</v>
      </c>
      <c r="W64" s="106">
        <f>'[4]Simulação Real Aberta'!W104</f>
        <v>0</v>
      </c>
      <c r="X64" s="106">
        <f>'[4]Simulação Real Aberta'!X104</f>
        <v>0</v>
      </c>
      <c r="Y64" s="106">
        <f>'[4]Simulação Real Aberta'!Y104</f>
        <v>0</v>
      </c>
      <c r="Z64" s="106">
        <f>'[4]Simulação Real Aberta'!Z104</f>
        <v>0</v>
      </c>
      <c r="AA64" s="106">
        <f>'[4]Simulação Real Aberta'!AA104</f>
        <v>0</v>
      </c>
      <c r="AB64" s="106">
        <f>'[4]Simulação Real Aberta'!AB104</f>
        <v>0</v>
      </c>
      <c r="AC64" s="106">
        <f>'[4]Simulação Real Aberta'!AC104</f>
        <v>0</v>
      </c>
      <c r="AD64" s="106">
        <f>'[4]Simulação Real Aberta'!AD104</f>
        <v>0</v>
      </c>
      <c r="AE64" s="106">
        <f>'[4]Simulação Real Aberta'!AE104</f>
        <v>0</v>
      </c>
      <c r="AF64" s="106">
        <f>'[4]Simulação Real Aberta'!AF104</f>
        <v>0</v>
      </c>
      <c r="AG64" s="106">
        <f>'[4]Simulação Real Aberta'!AG104</f>
        <v>0</v>
      </c>
      <c r="AH64" s="106">
        <f>'[4]Simulação Real Aberta'!AH104</f>
        <v>0</v>
      </c>
      <c r="AI64" s="106">
        <f>'[4]Simulação Real Aberta'!AI104</f>
        <v>0</v>
      </c>
      <c r="AJ64" s="106">
        <f>'[4]Simulação Real Aberta'!AJ104</f>
        <v>0</v>
      </c>
      <c r="AK64" s="106">
        <f>'[4]Simulação Real Aberta'!AK104</f>
        <v>0</v>
      </c>
      <c r="AL64" s="106">
        <f>'[4]Simulação Real Aberta'!AL104</f>
        <v>0</v>
      </c>
      <c r="AM64" s="106">
        <f>'[4]Simulação Real Aberta'!AM104</f>
        <v>0</v>
      </c>
      <c r="AN64" s="106">
        <f>'[4]Simulação Real Aberta'!AN104</f>
        <v>0</v>
      </c>
      <c r="AO64" s="106">
        <f>'[4]Simulação Real Aberta'!AO104</f>
        <v>0</v>
      </c>
      <c r="AP64" s="106">
        <f>'[4]Simulação Real Aberta'!AP104</f>
        <v>0</v>
      </c>
      <c r="AQ64" s="106">
        <f>'[4]Simulação Real Aberta'!AQ104</f>
        <v>0</v>
      </c>
      <c r="AR64" s="106">
        <f>'[4]Simulação Real Aberta'!AR104</f>
        <v>0</v>
      </c>
      <c r="AS64" s="106">
        <f>'[4]Simulação Real Aberta'!AS104</f>
        <v>0</v>
      </c>
      <c r="AT64" s="106">
        <f>'[4]Simulação Real Aberta'!AT104</f>
        <v>0</v>
      </c>
      <c r="AU64" s="106">
        <f>'[4]Simulação Real Aberta'!AU104</f>
        <v>0</v>
      </c>
      <c r="AV64" s="106">
        <f>'[4]Simulação Real Aberta'!AV104</f>
        <v>0</v>
      </c>
      <c r="AW64" s="106">
        <f>'[4]Simulação Real Aberta'!AW104</f>
        <v>0</v>
      </c>
      <c r="AX64" s="106">
        <f>'[4]Simulação Real Aberta'!AX104</f>
        <v>0</v>
      </c>
      <c r="AY64" s="106">
        <f>'[4]Simulação Real Aberta'!AY104</f>
        <v>0</v>
      </c>
      <c r="AZ64" s="106">
        <f>'[4]Simulação Real Aberta'!AZ104</f>
        <v>0</v>
      </c>
      <c r="BA64" s="106">
        <f>'[4]Simulação Real Aberta'!BA104</f>
        <v>0</v>
      </c>
      <c r="BB64" s="106">
        <f>'[4]Simulação Real Aberta'!BB104</f>
        <v>0</v>
      </c>
      <c r="BC64" s="106">
        <f>'[4]Simulação Real Aberta'!BC104</f>
        <v>0</v>
      </c>
      <c r="BD64" s="106">
        <f>'[4]Simulação Real Aberta'!BD104</f>
        <v>0</v>
      </c>
      <c r="BE64" s="106">
        <f>'[4]Simulação Real Aberta'!BE104</f>
        <v>0</v>
      </c>
      <c r="BF64" s="106">
        <f>'[4]Simulação Real Aberta'!BF104</f>
        <v>0</v>
      </c>
    </row>
    <row r="65" spans="1:58" x14ac:dyDescent="0.25">
      <c r="A65" s="104" t="s">
        <v>174</v>
      </c>
      <c r="B65" s="172">
        <v>0</v>
      </c>
      <c r="C65" s="172">
        <v>0</v>
      </c>
      <c r="D65" s="105">
        <f t="shared" si="14"/>
        <v>0</v>
      </c>
      <c r="F65" s="106">
        <f>'[4]Simulação Real Aberta'!F105</f>
        <v>0</v>
      </c>
      <c r="G65" s="106">
        <f>'[4]Simulação Real Aberta'!G105</f>
        <v>0</v>
      </c>
      <c r="H65" s="106">
        <f>'[4]Simulação Real Aberta'!H105</f>
        <v>0</v>
      </c>
      <c r="I65" s="106">
        <f>'[4]Simulação Real Aberta'!I105</f>
        <v>0</v>
      </c>
      <c r="J65" s="106">
        <f>'[4]Simulação Real Aberta'!J105</f>
        <v>0</v>
      </c>
      <c r="K65" s="106">
        <f>'[4]Simulação Real Aberta'!K105</f>
        <v>0</v>
      </c>
      <c r="L65" s="106">
        <f>'[4]Simulação Real Aberta'!L105</f>
        <v>0</v>
      </c>
      <c r="M65" s="106">
        <f>'[4]Simulação Real Aberta'!M105</f>
        <v>0</v>
      </c>
      <c r="N65" s="106">
        <f>'[4]Simulação Real Aberta'!N105</f>
        <v>0</v>
      </c>
      <c r="O65" s="106">
        <f>'[4]Simulação Real Aberta'!O105</f>
        <v>0</v>
      </c>
      <c r="P65" s="106">
        <f>'[4]Simulação Real Aberta'!P105</f>
        <v>0</v>
      </c>
      <c r="Q65" s="106">
        <f>'[4]Simulação Real Aberta'!Q105</f>
        <v>0</v>
      </c>
      <c r="R65" s="106">
        <f>'[4]Simulação Real Aberta'!R105</f>
        <v>0</v>
      </c>
      <c r="S65" s="106">
        <f>'[4]Simulação Real Aberta'!S105</f>
        <v>0</v>
      </c>
      <c r="T65" s="106">
        <f>'[4]Simulação Real Aberta'!T105</f>
        <v>0</v>
      </c>
      <c r="U65" s="106">
        <f>'[4]Simulação Real Aberta'!U105</f>
        <v>0</v>
      </c>
      <c r="V65" s="106">
        <f>'[4]Simulação Real Aberta'!V105</f>
        <v>0</v>
      </c>
      <c r="W65" s="106">
        <f>'[4]Simulação Real Aberta'!W105</f>
        <v>0</v>
      </c>
      <c r="X65" s="106">
        <f>'[4]Simulação Real Aberta'!X105</f>
        <v>0</v>
      </c>
      <c r="Y65" s="106">
        <f>'[4]Simulação Real Aberta'!Y105</f>
        <v>0</v>
      </c>
      <c r="Z65" s="106">
        <f>'[4]Simulação Real Aberta'!Z105</f>
        <v>0</v>
      </c>
      <c r="AA65" s="106">
        <f>'[4]Simulação Real Aberta'!AA105</f>
        <v>0</v>
      </c>
      <c r="AB65" s="106">
        <f>'[4]Simulação Real Aberta'!AB105</f>
        <v>0</v>
      </c>
      <c r="AC65" s="106">
        <f>'[4]Simulação Real Aberta'!AC105</f>
        <v>0</v>
      </c>
      <c r="AD65" s="106">
        <f>'[4]Simulação Real Aberta'!AD105</f>
        <v>0</v>
      </c>
      <c r="AE65" s="106">
        <f>'[4]Simulação Real Aberta'!AE105</f>
        <v>0</v>
      </c>
      <c r="AF65" s="106">
        <f>'[4]Simulação Real Aberta'!AF105</f>
        <v>0</v>
      </c>
      <c r="AG65" s="106">
        <f>'[4]Simulação Real Aberta'!AG105</f>
        <v>0</v>
      </c>
      <c r="AH65" s="106">
        <f>'[4]Simulação Real Aberta'!AH105</f>
        <v>0</v>
      </c>
      <c r="AI65" s="106">
        <f>'[4]Simulação Real Aberta'!AI105</f>
        <v>0</v>
      </c>
      <c r="AJ65" s="106">
        <f>'[4]Simulação Real Aberta'!AJ105</f>
        <v>0</v>
      </c>
      <c r="AK65" s="106">
        <f>'[4]Simulação Real Aberta'!AK105</f>
        <v>0</v>
      </c>
      <c r="AL65" s="106">
        <f>'[4]Simulação Real Aberta'!AL105</f>
        <v>0</v>
      </c>
      <c r="AM65" s="106">
        <f>'[4]Simulação Real Aberta'!AM105</f>
        <v>0</v>
      </c>
      <c r="AN65" s="106">
        <f>'[4]Simulação Real Aberta'!AN105</f>
        <v>0</v>
      </c>
      <c r="AO65" s="106">
        <f>'[4]Simulação Real Aberta'!AO105</f>
        <v>0</v>
      </c>
      <c r="AP65" s="106">
        <f>'[4]Simulação Real Aberta'!AP105</f>
        <v>0</v>
      </c>
      <c r="AQ65" s="106">
        <f>'[4]Simulação Real Aberta'!AQ105</f>
        <v>0</v>
      </c>
      <c r="AR65" s="106">
        <f>'[4]Simulação Real Aberta'!AR105</f>
        <v>0</v>
      </c>
      <c r="AS65" s="106">
        <f>'[4]Simulação Real Aberta'!AS105</f>
        <v>0</v>
      </c>
      <c r="AT65" s="106">
        <f>'[4]Simulação Real Aberta'!AT105</f>
        <v>0</v>
      </c>
      <c r="AU65" s="106">
        <f>'[4]Simulação Real Aberta'!AU105</f>
        <v>0</v>
      </c>
      <c r="AV65" s="106">
        <f>'[4]Simulação Real Aberta'!AV105</f>
        <v>0</v>
      </c>
      <c r="AW65" s="106">
        <f>'[4]Simulação Real Aberta'!AW105</f>
        <v>0</v>
      </c>
      <c r="AX65" s="106">
        <f>'[4]Simulação Real Aberta'!AX105</f>
        <v>0</v>
      </c>
      <c r="AY65" s="106">
        <f>'[4]Simulação Real Aberta'!AY105</f>
        <v>0</v>
      </c>
      <c r="AZ65" s="106">
        <f>'[4]Simulação Real Aberta'!AZ105</f>
        <v>0</v>
      </c>
      <c r="BA65" s="106">
        <f>'[4]Simulação Real Aberta'!BA105</f>
        <v>0</v>
      </c>
      <c r="BB65" s="106">
        <f>'[4]Simulação Real Aberta'!BB105</f>
        <v>0</v>
      </c>
      <c r="BC65" s="106">
        <f>'[4]Simulação Real Aberta'!BC105</f>
        <v>0</v>
      </c>
      <c r="BD65" s="106">
        <f>'[4]Simulação Real Aberta'!BD105</f>
        <v>0</v>
      </c>
      <c r="BE65" s="106">
        <f>'[4]Simulação Real Aberta'!BE105</f>
        <v>0</v>
      </c>
      <c r="BF65" s="106">
        <f>'[4]Simulação Real Aberta'!BF105</f>
        <v>0</v>
      </c>
    </row>
    <row r="66" spans="1:58" x14ac:dyDescent="0.25">
      <c r="A66" s="123" t="s">
        <v>175</v>
      </c>
      <c r="B66" s="172">
        <v>0</v>
      </c>
      <c r="C66" s="172">
        <v>500000</v>
      </c>
      <c r="D66" s="105">
        <f t="shared" si="14"/>
        <v>500000</v>
      </c>
      <c r="F66" s="106">
        <f>'[4]Simulação Real Aberta'!F106</f>
        <v>0</v>
      </c>
      <c r="G66" s="106">
        <f>'[4]Simulação Real Aberta'!G106</f>
        <v>500000</v>
      </c>
      <c r="H66" s="106">
        <f>'[4]Simulação Real Aberta'!H106</f>
        <v>0</v>
      </c>
      <c r="I66" s="106">
        <f>'[4]Simulação Real Aberta'!I106</f>
        <v>0</v>
      </c>
      <c r="J66" s="106">
        <f>'[4]Simulação Real Aberta'!J106</f>
        <v>0</v>
      </c>
      <c r="K66" s="106">
        <f>'[4]Simulação Real Aberta'!K106</f>
        <v>0</v>
      </c>
      <c r="L66" s="106">
        <f>'[4]Simulação Real Aberta'!L106</f>
        <v>0</v>
      </c>
      <c r="M66" s="106">
        <f>'[4]Simulação Real Aberta'!M106</f>
        <v>0</v>
      </c>
      <c r="N66" s="106">
        <f>'[4]Simulação Real Aberta'!N106</f>
        <v>0</v>
      </c>
      <c r="O66" s="106">
        <f>'[4]Simulação Real Aberta'!O106</f>
        <v>500000</v>
      </c>
      <c r="P66" s="106">
        <f>'[4]Simulação Real Aberta'!P106</f>
        <v>0</v>
      </c>
      <c r="Q66" s="106">
        <f>'[4]Simulação Real Aberta'!Q106</f>
        <v>0</v>
      </c>
      <c r="R66" s="106">
        <f>'[4]Simulação Real Aberta'!R106</f>
        <v>0</v>
      </c>
      <c r="S66" s="106">
        <f>'[4]Simulação Real Aberta'!S106</f>
        <v>0</v>
      </c>
      <c r="T66" s="106">
        <f>'[4]Simulação Real Aberta'!T106</f>
        <v>0</v>
      </c>
      <c r="U66" s="106">
        <f>'[4]Simulação Real Aberta'!U106</f>
        <v>0</v>
      </c>
      <c r="V66" s="106">
        <f>'[4]Simulação Real Aberta'!V106</f>
        <v>0</v>
      </c>
      <c r="W66" s="106">
        <f>'[4]Simulação Real Aberta'!W106</f>
        <v>0</v>
      </c>
      <c r="X66" s="106">
        <f>'[4]Simulação Real Aberta'!X106</f>
        <v>0</v>
      </c>
      <c r="Y66" s="106">
        <f>'[4]Simulação Real Aberta'!Y106</f>
        <v>0</v>
      </c>
      <c r="Z66" s="106">
        <f>'[4]Simulação Real Aberta'!Z106</f>
        <v>0</v>
      </c>
      <c r="AA66" s="106">
        <f>'[4]Simulação Real Aberta'!AA106</f>
        <v>0</v>
      </c>
      <c r="AB66" s="106">
        <f>'[4]Simulação Real Aberta'!AB106</f>
        <v>0</v>
      </c>
      <c r="AC66" s="106">
        <f>'[4]Simulação Real Aberta'!AC106</f>
        <v>0</v>
      </c>
      <c r="AD66" s="106">
        <f>'[4]Simulação Real Aberta'!AD106</f>
        <v>0</v>
      </c>
      <c r="AE66" s="106">
        <f>'[4]Simulação Real Aberta'!AE106</f>
        <v>0</v>
      </c>
      <c r="AF66" s="106">
        <f>'[4]Simulação Real Aberta'!AF106</f>
        <v>0</v>
      </c>
      <c r="AG66" s="106">
        <f>'[4]Simulação Real Aberta'!AG106</f>
        <v>0</v>
      </c>
      <c r="AH66" s="106">
        <f>'[4]Simulação Real Aberta'!AH106</f>
        <v>0</v>
      </c>
      <c r="AI66" s="106">
        <f>'[4]Simulação Real Aberta'!AI106</f>
        <v>0</v>
      </c>
      <c r="AJ66" s="106">
        <f>'[4]Simulação Real Aberta'!AJ106</f>
        <v>0</v>
      </c>
      <c r="AK66" s="106">
        <f>'[4]Simulação Real Aberta'!AK106</f>
        <v>0</v>
      </c>
      <c r="AL66" s="106">
        <f>'[4]Simulação Real Aberta'!AL106</f>
        <v>0</v>
      </c>
      <c r="AM66" s="106">
        <f>'[4]Simulação Real Aberta'!AM106</f>
        <v>0</v>
      </c>
      <c r="AN66" s="106">
        <f>'[4]Simulação Real Aberta'!AN106</f>
        <v>0</v>
      </c>
      <c r="AO66" s="106">
        <f>'[4]Simulação Real Aberta'!AO106</f>
        <v>0</v>
      </c>
      <c r="AP66" s="106">
        <f>'[4]Simulação Real Aberta'!AP106</f>
        <v>0</v>
      </c>
      <c r="AQ66" s="106">
        <f>'[4]Simulação Real Aberta'!AQ106</f>
        <v>0</v>
      </c>
      <c r="AR66" s="106">
        <f>'[4]Simulação Real Aberta'!AR106</f>
        <v>0</v>
      </c>
      <c r="AS66" s="106">
        <f>'[4]Simulação Real Aberta'!AS106</f>
        <v>0</v>
      </c>
      <c r="AT66" s="106">
        <f>'[4]Simulação Real Aberta'!AT106</f>
        <v>0</v>
      </c>
      <c r="AU66" s="106">
        <f>'[4]Simulação Real Aberta'!AU106</f>
        <v>0</v>
      </c>
      <c r="AV66" s="106">
        <f>'[4]Simulação Real Aberta'!AV106</f>
        <v>0</v>
      </c>
      <c r="AW66" s="106">
        <f>'[4]Simulação Real Aberta'!AW106</f>
        <v>0</v>
      </c>
      <c r="AX66" s="106">
        <f>'[4]Simulação Real Aberta'!AX106</f>
        <v>0</v>
      </c>
      <c r="AY66" s="106">
        <f>'[4]Simulação Real Aberta'!AY106</f>
        <v>0</v>
      </c>
      <c r="AZ66" s="106">
        <f>'[4]Simulação Real Aberta'!AZ106</f>
        <v>0</v>
      </c>
      <c r="BA66" s="106">
        <f>'[4]Simulação Real Aberta'!BA106</f>
        <v>0</v>
      </c>
      <c r="BB66" s="106">
        <f>'[4]Simulação Real Aberta'!BB106</f>
        <v>0</v>
      </c>
      <c r="BC66" s="106">
        <f>'[4]Simulação Real Aberta'!BC106</f>
        <v>0</v>
      </c>
      <c r="BD66" s="106">
        <f>'[4]Simulação Real Aberta'!BD106</f>
        <v>0</v>
      </c>
      <c r="BE66" s="106">
        <f>'[4]Simulação Real Aberta'!BE106</f>
        <v>500000</v>
      </c>
      <c r="BF66" s="106">
        <f>'[4]Simulação Real Aberta'!BF106</f>
        <v>500000</v>
      </c>
    </row>
    <row r="67" spans="1:58" x14ac:dyDescent="0.25">
      <c r="A67" s="173" t="s">
        <v>176</v>
      </c>
      <c r="B67" s="127">
        <v>0</v>
      </c>
      <c r="C67" s="127">
        <v>415000</v>
      </c>
      <c r="D67" s="112">
        <f t="shared" si="14"/>
        <v>415000</v>
      </c>
      <c r="F67" s="106">
        <f>'[4]Simulação Real Aberta'!F107</f>
        <v>0</v>
      </c>
      <c r="G67" s="106">
        <f>'[4]Simulação Real Aberta'!G107</f>
        <v>0</v>
      </c>
      <c r="H67" s="106">
        <f>'[4]Simulação Real Aberta'!H107</f>
        <v>0</v>
      </c>
      <c r="I67" s="106">
        <f>'[4]Simulação Real Aberta'!I107</f>
        <v>0</v>
      </c>
      <c r="J67" s="106">
        <f>'[4]Simulação Real Aberta'!J107</f>
        <v>0</v>
      </c>
      <c r="K67" s="106">
        <f>'[4]Simulação Real Aberta'!K107</f>
        <v>0</v>
      </c>
      <c r="L67" s="106">
        <f>'[4]Simulação Real Aberta'!L107</f>
        <v>0</v>
      </c>
      <c r="M67" s="106">
        <f>'[4]Simulação Real Aberta'!M107</f>
        <v>0</v>
      </c>
      <c r="N67" s="106">
        <f>'[4]Simulação Real Aberta'!N107</f>
        <v>0</v>
      </c>
      <c r="O67" s="106">
        <f>'[4]Simulação Real Aberta'!O107</f>
        <v>415000</v>
      </c>
      <c r="P67" s="106">
        <f>'[4]Simulação Real Aberta'!P107</f>
        <v>0</v>
      </c>
      <c r="Q67" s="106">
        <f>'[4]Simulação Real Aberta'!Q107</f>
        <v>0</v>
      </c>
      <c r="R67" s="106">
        <f>'[4]Simulação Real Aberta'!R107</f>
        <v>0</v>
      </c>
      <c r="S67" s="106">
        <f>'[4]Simulação Real Aberta'!S107</f>
        <v>0</v>
      </c>
      <c r="T67" s="106">
        <f>'[4]Simulação Real Aberta'!T107</f>
        <v>0</v>
      </c>
      <c r="U67" s="106">
        <f>'[4]Simulação Real Aberta'!U107</f>
        <v>0</v>
      </c>
      <c r="V67" s="106">
        <f>'[4]Simulação Real Aberta'!V107</f>
        <v>0</v>
      </c>
      <c r="W67" s="106">
        <f>'[4]Simulação Real Aberta'!W107</f>
        <v>0</v>
      </c>
      <c r="X67" s="106">
        <f>'[4]Simulação Real Aberta'!X107</f>
        <v>0</v>
      </c>
      <c r="Y67" s="106">
        <f>'[4]Simulação Real Aberta'!Y107</f>
        <v>0</v>
      </c>
      <c r="Z67" s="106">
        <f>'[4]Simulação Real Aberta'!Z107</f>
        <v>0</v>
      </c>
      <c r="AA67" s="106">
        <f>'[4]Simulação Real Aberta'!AA107</f>
        <v>0</v>
      </c>
      <c r="AB67" s="106">
        <f>'[4]Simulação Real Aberta'!AB107</f>
        <v>0</v>
      </c>
      <c r="AC67" s="106">
        <f>'[4]Simulação Real Aberta'!AC107</f>
        <v>0</v>
      </c>
      <c r="AD67" s="106">
        <f>'[4]Simulação Real Aberta'!AD107</f>
        <v>0</v>
      </c>
      <c r="AE67" s="106">
        <f>'[4]Simulação Real Aberta'!AE107</f>
        <v>0</v>
      </c>
      <c r="AF67" s="106">
        <f>'[4]Simulação Real Aberta'!AF107</f>
        <v>0</v>
      </c>
      <c r="AG67" s="106">
        <f>'[4]Simulação Real Aberta'!AG107</f>
        <v>0</v>
      </c>
      <c r="AH67" s="106">
        <f>'[4]Simulação Real Aberta'!AH107</f>
        <v>0</v>
      </c>
      <c r="AI67" s="106">
        <f>'[4]Simulação Real Aberta'!AI107</f>
        <v>0</v>
      </c>
      <c r="AJ67" s="106">
        <f>'[4]Simulação Real Aberta'!AJ107</f>
        <v>0</v>
      </c>
      <c r="AK67" s="106">
        <f>'[4]Simulação Real Aberta'!AK107</f>
        <v>0</v>
      </c>
      <c r="AL67" s="106">
        <f>'[4]Simulação Real Aberta'!AL107</f>
        <v>0</v>
      </c>
      <c r="AM67" s="106">
        <f>'[4]Simulação Real Aberta'!AM107</f>
        <v>0</v>
      </c>
      <c r="AN67" s="106">
        <f>'[4]Simulação Real Aberta'!AN107</f>
        <v>0</v>
      </c>
      <c r="AO67" s="106">
        <f>'[4]Simulação Real Aberta'!AO107</f>
        <v>0</v>
      </c>
      <c r="AP67" s="106">
        <f>'[4]Simulação Real Aberta'!AP107</f>
        <v>0</v>
      </c>
      <c r="AQ67" s="106">
        <f>'[4]Simulação Real Aberta'!AQ107</f>
        <v>0</v>
      </c>
      <c r="AR67" s="106">
        <f>'[4]Simulação Real Aberta'!AR107</f>
        <v>0</v>
      </c>
      <c r="AS67" s="106">
        <f>'[4]Simulação Real Aberta'!AS107</f>
        <v>0</v>
      </c>
      <c r="AT67" s="106">
        <f>'[4]Simulação Real Aberta'!AT107</f>
        <v>0</v>
      </c>
      <c r="AU67" s="106">
        <f>'[4]Simulação Real Aberta'!AU107</f>
        <v>0</v>
      </c>
      <c r="AV67" s="106">
        <f>'[4]Simulação Real Aberta'!AV107</f>
        <v>0</v>
      </c>
      <c r="AW67" s="106">
        <f>'[4]Simulação Real Aberta'!AW107</f>
        <v>0</v>
      </c>
      <c r="AX67" s="106">
        <f>'[4]Simulação Real Aberta'!AX107</f>
        <v>0</v>
      </c>
      <c r="AY67" s="106">
        <f>'[4]Simulação Real Aberta'!AY107</f>
        <v>0</v>
      </c>
      <c r="AZ67" s="106">
        <f>'[4]Simulação Real Aberta'!AZ107</f>
        <v>0</v>
      </c>
      <c r="BA67" s="106">
        <f>'[4]Simulação Real Aberta'!BA107</f>
        <v>0</v>
      </c>
      <c r="BB67" s="106">
        <f>'[4]Simulação Real Aberta'!BB107</f>
        <v>0</v>
      </c>
      <c r="BC67" s="106">
        <f>'[4]Simulação Real Aberta'!BC107</f>
        <v>0</v>
      </c>
      <c r="BD67" s="106">
        <f>'[4]Simulação Real Aberta'!BD107</f>
        <v>0</v>
      </c>
      <c r="BE67" s="106">
        <f>'[4]Simulação Real Aberta'!BE107</f>
        <v>415000</v>
      </c>
      <c r="BF67" s="106">
        <f>'[4]Simulação Real Aberta'!BF107</f>
        <v>415000</v>
      </c>
    </row>
    <row r="68" spans="1:58" x14ac:dyDescent="0.25">
      <c r="A68" s="159" t="s">
        <v>177</v>
      </c>
      <c r="B68" s="175">
        <v>6463492</v>
      </c>
      <c r="C68" s="175">
        <v>0</v>
      </c>
      <c r="D68" s="106">
        <f t="shared" si="14"/>
        <v>6463492</v>
      </c>
      <c r="F68" s="106">
        <f>'[4]Simulação Real Aberta'!F108</f>
        <v>0</v>
      </c>
      <c r="G68" s="106">
        <f>'[4]Simulação Real Aberta'!G108</f>
        <v>0</v>
      </c>
      <c r="H68" s="106">
        <f>'[4]Simulação Real Aberta'!H108</f>
        <v>0</v>
      </c>
      <c r="I68" s="106">
        <f>'[4]Simulação Real Aberta'!I108</f>
        <v>0</v>
      </c>
      <c r="J68" s="106">
        <f>'[4]Simulação Real Aberta'!J108</f>
        <v>300000</v>
      </c>
      <c r="K68" s="106">
        <f>'[4]Simulação Real Aberta'!K108</f>
        <v>0</v>
      </c>
      <c r="L68" s="106">
        <f>'[4]Simulação Real Aberta'!L108</f>
        <v>550593</v>
      </c>
      <c r="M68" s="106">
        <f>'[4]Simulação Real Aberta'!M108</f>
        <v>0</v>
      </c>
      <c r="N68" s="106">
        <f>'[4]Simulação Real Aberta'!N108</f>
        <v>850593</v>
      </c>
      <c r="O68" s="106">
        <f>'[4]Simulação Real Aberta'!O108</f>
        <v>0</v>
      </c>
      <c r="P68" s="106">
        <f>'[4]Simulação Real Aberta'!P108</f>
        <v>500000</v>
      </c>
      <c r="Q68" s="106">
        <f>'[4]Simulação Real Aberta'!Q108</f>
        <v>0</v>
      </c>
      <c r="R68" s="106">
        <f>'[4]Simulação Real Aberta'!R108</f>
        <v>500000</v>
      </c>
      <c r="S68" s="106">
        <f>'[4]Simulação Real Aberta'!S108</f>
        <v>0</v>
      </c>
      <c r="T68" s="106">
        <f>'[4]Simulação Real Aberta'!T108</f>
        <v>500000</v>
      </c>
      <c r="U68" s="106">
        <f>'[4]Simulação Real Aberta'!U108</f>
        <v>0</v>
      </c>
      <c r="V68" s="106">
        <f>'[4]Simulação Real Aberta'!V108</f>
        <v>50360</v>
      </c>
      <c r="W68" s="106">
        <f>'[4]Simulação Real Aberta'!W108</f>
        <v>0</v>
      </c>
      <c r="X68" s="106">
        <f>'[4]Simulação Real Aberta'!X108</f>
        <v>1550360</v>
      </c>
      <c r="Y68" s="106">
        <f>'[4]Simulação Real Aberta'!Y108</f>
        <v>0</v>
      </c>
      <c r="Z68" s="106">
        <f>'[4]Simulação Real Aberta'!Z108</f>
        <v>700000</v>
      </c>
      <c r="AA68" s="106">
        <f>'[4]Simulação Real Aberta'!AA108</f>
        <v>0</v>
      </c>
      <c r="AB68" s="106">
        <f>'[4]Simulação Real Aberta'!AB108</f>
        <v>700000</v>
      </c>
      <c r="AC68" s="106">
        <f>'[4]Simulação Real Aberta'!AC108</f>
        <v>0</v>
      </c>
      <c r="AD68" s="106">
        <f>'[4]Simulação Real Aberta'!AD108</f>
        <v>700000</v>
      </c>
      <c r="AE68" s="106">
        <f>'[4]Simulação Real Aberta'!AE108</f>
        <v>0</v>
      </c>
      <c r="AF68" s="106">
        <f>'[4]Simulação Real Aberta'!AF108</f>
        <v>700000</v>
      </c>
      <c r="AG68" s="106">
        <f>'[4]Simulação Real Aberta'!AG108</f>
        <v>0</v>
      </c>
      <c r="AH68" s="106">
        <f>'[4]Simulação Real Aberta'!AH108</f>
        <v>2800000</v>
      </c>
      <c r="AI68" s="106">
        <f>'[4]Simulação Real Aberta'!AI108</f>
        <v>0</v>
      </c>
      <c r="AJ68" s="106">
        <f>'[4]Simulação Real Aberta'!AJ108</f>
        <v>700000</v>
      </c>
      <c r="AK68" s="106">
        <f>'[4]Simulação Real Aberta'!AK108</f>
        <v>0</v>
      </c>
      <c r="AL68" s="106">
        <f>'[4]Simulação Real Aberta'!AL108</f>
        <v>562539</v>
      </c>
      <c r="AM68" s="106">
        <f>'[4]Simulação Real Aberta'!AM108</f>
        <v>0</v>
      </c>
      <c r="AN68" s="106">
        <f>'[4]Simulação Real Aberta'!AN108</f>
        <v>0</v>
      </c>
      <c r="AO68" s="106">
        <f>'[4]Simulação Real Aberta'!AO108</f>
        <v>0</v>
      </c>
      <c r="AP68" s="106">
        <f>'[4]Simulação Real Aberta'!AP108</f>
        <v>0</v>
      </c>
      <c r="AQ68" s="106">
        <f>'[4]Simulação Real Aberta'!AQ108</f>
        <v>0</v>
      </c>
      <c r="AR68" s="106">
        <f>'[4]Simulação Real Aberta'!AR108</f>
        <v>1262539</v>
      </c>
      <c r="AS68" s="106">
        <f>'[4]Simulação Real Aberta'!AS108</f>
        <v>0</v>
      </c>
      <c r="AT68" s="106">
        <f>'[4]Simulação Real Aberta'!AT108</f>
        <v>0</v>
      </c>
      <c r="AU68" s="106">
        <f>'[4]Simulação Real Aberta'!AU108</f>
        <v>0</v>
      </c>
      <c r="AV68" s="106">
        <f>'[4]Simulação Real Aberta'!AV108</f>
        <v>0</v>
      </c>
      <c r="AW68" s="106">
        <f>'[4]Simulação Real Aberta'!AW108</f>
        <v>0</v>
      </c>
      <c r="AX68" s="106">
        <f>'[4]Simulação Real Aberta'!AX108</f>
        <v>0</v>
      </c>
      <c r="AY68" s="106">
        <f>'[4]Simulação Real Aberta'!AY108</f>
        <v>0</v>
      </c>
      <c r="AZ68" s="106">
        <f>'[4]Simulação Real Aberta'!AZ108</f>
        <v>0</v>
      </c>
      <c r="BA68" s="106">
        <f>'[4]Simulação Real Aberta'!BA108</f>
        <v>0</v>
      </c>
      <c r="BB68" s="106">
        <f>'[4]Simulação Real Aberta'!BB108</f>
        <v>0</v>
      </c>
      <c r="BC68" s="106">
        <f>'[4]Simulação Real Aberta'!BC108</f>
        <v>0</v>
      </c>
      <c r="BD68" s="106">
        <f>'[4]Simulação Real Aberta'!BD108</f>
        <v>6463492</v>
      </c>
      <c r="BE68" s="106">
        <f>'[4]Simulação Real Aberta'!BE108</f>
        <v>0</v>
      </c>
      <c r="BF68" s="106">
        <f>'[4]Simulação Real Aberta'!BF108</f>
        <v>6463492</v>
      </c>
    </row>
    <row r="69" spans="1:58" x14ac:dyDescent="0.25">
      <c r="A69" s="170" t="s">
        <v>178</v>
      </c>
      <c r="B69" s="101">
        <f>B70+B71</f>
        <v>7080000</v>
      </c>
      <c r="C69" s="101">
        <f>C70+C71</f>
        <v>6280000</v>
      </c>
      <c r="D69" s="101">
        <f>B69+C69</f>
        <v>13360000</v>
      </c>
      <c r="F69" s="101">
        <f>'[4]Simulação Real Aberta'!F109</f>
        <v>0</v>
      </c>
      <c r="G69" s="101">
        <f>'[4]Simulação Real Aberta'!G109</f>
        <v>2787500</v>
      </c>
      <c r="H69" s="101">
        <f>'[4]Simulação Real Aberta'!H109</f>
        <v>0</v>
      </c>
      <c r="I69" s="101">
        <f>'[4]Simulação Real Aberta'!I109</f>
        <v>696875</v>
      </c>
      <c r="J69" s="101">
        <f>'[4]Simulação Real Aberta'!J109</f>
        <v>1000000</v>
      </c>
      <c r="K69" s="101">
        <f>'[4]Simulação Real Aberta'!K109</f>
        <v>696875</v>
      </c>
      <c r="L69" s="101">
        <f>'[4]Simulação Real Aberta'!L109</f>
        <v>1000000</v>
      </c>
      <c r="M69" s="101">
        <f>'[4]Simulação Real Aberta'!M109</f>
        <v>696875</v>
      </c>
      <c r="N69" s="101">
        <f>'[4]Simulação Real Aberta'!N109</f>
        <v>2680000</v>
      </c>
      <c r="O69" s="101">
        <f>'[4]Simulação Real Aberta'!O109</f>
        <v>5558125</v>
      </c>
      <c r="P69" s="101">
        <f>'[4]Simulação Real Aberta'!P109</f>
        <v>1000000</v>
      </c>
      <c r="Q69" s="101">
        <f>'[4]Simulação Real Aberta'!Q109</f>
        <v>721875</v>
      </c>
      <c r="R69" s="101">
        <f>'[4]Simulação Real Aberta'!R109</f>
        <v>1000000</v>
      </c>
      <c r="S69" s="101">
        <f>'[4]Simulação Real Aberta'!S109</f>
        <v>0</v>
      </c>
      <c r="T69" s="101">
        <f>'[4]Simulação Real Aberta'!T109</f>
        <v>1000000</v>
      </c>
      <c r="U69" s="101">
        <f>'[4]Simulação Real Aberta'!U109</f>
        <v>0</v>
      </c>
      <c r="V69" s="101">
        <f>'[4]Simulação Real Aberta'!V109</f>
        <v>1400000</v>
      </c>
      <c r="W69" s="101">
        <f>'[4]Simulação Real Aberta'!W109</f>
        <v>0</v>
      </c>
      <c r="X69" s="101">
        <f>'[4]Simulação Real Aberta'!X109</f>
        <v>4400000</v>
      </c>
      <c r="Y69" s="101">
        <f>'[4]Simulação Real Aberta'!Y109</f>
        <v>721875</v>
      </c>
      <c r="Z69" s="101">
        <f>'[4]Simulação Real Aberta'!Z109</f>
        <v>0</v>
      </c>
      <c r="AA69" s="101">
        <f>'[4]Simulação Real Aberta'!AA109</f>
        <v>0</v>
      </c>
      <c r="AB69" s="101">
        <f>'[4]Simulação Real Aberta'!AB109</f>
        <v>0</v>
      </c>
      <c r="AC69" s="101">
        <f>'[4]Simulação Real Aberta'!AC109</f>
        <v>0</v>
      </c>
      <c r="AD69" s="101">
        <f>'[4]Simulação Real Aberta'!AD109</f>
        <v>0</v>
      </c>
      <c r="AE69" s="101">
        <f>'[4]Simulação Real Aberta'!AE109</f>
        <v>0</v>
      </c>
      <c r="AF69" s="101">
        <f>'[4]Simulação Real Aberta'!AF109</f>
        <v>0</v>
      </c>
      <c r="AG69" s="101">
        <f>'[4]Simulação Real Aberta'!AG109</f>
        <v>0</v>
      </c>
      <c r="AH69" s="101">
        <f>'[4]Simulação Real Aberta'!AH109</f>
        <v>0</v>
      </c>
      <c r="AI69" s="101">
        <f>'[4]Simulação Real Aberta'!AI109</f>
        <v>0</v>
      </c>
      <c r="AJ69" s="101">
        <f>'[4]Simulação Real Aberta'!AJ109</f>
        <v>0</v>
      </c>
      <c r="AK69" s="101">
        <f>'[4]Simulação Real Aberta'!AK109</f>
        <v>0</v>
      </c>
      <c r="AL69" s="101">
        <f>'[4]Simulação Real Aberta'!AL109</f>
        <v>0</v>
      </c>
      <c r="AM69" s="101">
        <f>'[4]Simulação Real Aberta'!AM109</f>
        <v>0</v>
      </c>
      <c r="AN69" s="101">
        <f>'[4]Simulação Real Aberta'!AN109</f>
        <v>0</v>
      </c>
      <c r="AO69" s="101">
        <f>'[4]Simulação Real Aberta'!AO109</f>
        <v>0</v>
      </c>
      <c r="AP69" s="101">
        <f>'[4]Simulação Real Aberta'!AP109</f>
        <v>0</v>
      </c>
      <c r="AQ69" s="101">
        <f>'[4]Simulação Real Aberta'!AQ109</f>
        <v>0</v>
      </c>
      <c r="AR69" s="101">
        <f>'[4]Simulação Real Aberta'!AR109</f>
        <v>0</v>
      </c>
      <c r="AS69" s="101">
        <f>'[4]Simulação Real Aberta'!AS109</f>
        <v>0</v>
      </c>
      <c r="AT69" s="101">
        <f>'[4]Simulação Real Aberta'!AT109</f>
        <v>0</v>
      </c>
      <c r="AU69" s="101">
        <f>'[4]Simulação Real Aberta'!AU109</f>
        <v>0</v>
      </c>
      <c r="AV69" s="101">
        <f>'[4]Simulação Real Aberta'!AV109</f>
        <v>0</v>
      </c>
      <c r="AW69" s="101">
        <f>'[4]Simulação Real Aberta'!AW109</f>
        <v>0</v>
      </c>
      <c r="AX69" s="101">
        <f>'[4]Simulação Real Aberta'!AX109</f>
        <v>0</v>
      </c>
      <c r="AY69" s="101">
        <f>'[4]Simulação Real Aberta'!AY109</f>
        <v>0</v>
      </c>
      <c r="AZ69" s="101">
        <f>'[4]Simulação Real Aberta'!AZ109</f>
        <v>0</v>
      </c>
      <c r="BA69" s="101">
        <f>'[4]Simulação Real Aberta'!BA109</f>
        <v>0</v>
      </c>
      <c r="BB69" s="101">
        <f>'[4]Simulação Real Aberta'!BB109</f>
        <v>0</v>
      </c>
      <c r="BC69" s="101">
        <f>'[4]Simulação Real Aberta'!BC109</f>
        <v>0</v>
      </c>
      <c r="BD69" s="101">
        <f>'[4]Simulação Real Aberta'!BD109</f>
        <v>7080000</v>
      </c>
      <c r="BE69" s="101">
        <f>'[4]Simulação Real Aberta'!BE109</f>
        <v>6280000</v>
      </c>
      <c r="BF69" s="101">
        <f>'[4]Simulação Real Aberta'!BF109</f>
        <v>13360000</v>
      </c>
    </row>
    <row r="70" spans="1:58" x14ac:dyDescent="0.25">
      <c r="A70" s="171" t="s">
        <v>179</v>
      </c>
      <c r="B70" s="119">
        <v>680000</v>
      </c>
      <c r="C70" s="119">
        <v>6280000</v>
      </c>
      <c r="D70" s="105">
        <f t="shared" ref="D70:D71" si="15">B70+C70</f>
        <v>6960000</v>
      </c>
      <c r="F70" s="106">
        <f>'[4]Simulação Real Aberta'!F110</f>
        <v>0</v>
      </c>
      <c r="G70" s="106">
        <f>'[4]Simulação Real Aberta'!G110</f>
        <v>2787500</v>
      </c>
      <c r="H70" s="106">
        <f>'[4]Simulação Real Aberta'!H110</f>
        <v>0</v>
      </c>
      <c r="I70" s="106">
        <f>'[4]Simulação Real Aberta'!I110</f>
        <v>696875</v>
      </c>
      <c r="J70" s="106">
        <f>'[4]Simulação Real Aberta'!J110</f>
        <v>0</v>
      </c>
      <c r="K70" s="106">
        <f>'[4]Simulação Real Aberta'!K110</f>
        <v>696875</v>
      </c>
      <c r="L70" s="106">
        <f>'[4]Simulação Real Aberta'!L110</f>
        <v>0</v>
      </c>
      <c r="M70" s="106">
        <f>'[4]Simulação Real Aberta'!M110</f>
        <v>696875</v>
      </c>
      <c r="N70" s="106">
        <f>'[4]Simulação Real Aberta'!N110</f>
        <v>680000</v>
      </c>
      <c r="O70" s="106">
        <f>'[4]Simulação Real Aberta'!O110</f>
        <v>5558125</v>
      </c>
      <c r="P70" s="106">
        <f>'[4]Simulação Real Aberta'!P110</f>
        <v>0</v>
      </c>
      <c r="Q70" s="106">
        <f>'[4]Simulação Real Aberta'!Q110</f>
        <v>721875</v>
      </c>
      <c r="R70" s="106">
        <f>'[4]Simulação Real Aberta'!R110</f>
        <v>0</v>
      </c>
      <c r="S70" s="106">
        <f>'[4]Simulação Real Aberta'!S110</f>
        <v>0</v>
      </c>
      <c r="T70" s="106">
        <f>'[4]Simulação Real Aberta'!T110</f>
        <v>0</v>
      </c>
      <c r="U70" s="106">
        <f>'[4]Simulação Real Aberta'!U110</f>
        <v>0</v>
      </c>
      <c r="V70" s="106">
        <f>'[4]Simulação Real Aberta'!V110</f>
        <v>0</v>
      </c>
      <c r="W70" s="106">
        <f>'[4]Simulação Real Aberta'!W110</f>
        <v>0</v>
      </c>
      <c r="X70" s="106">
        <f>'[4]Simulação Real Aberta'!X110</f>
        <v>0</v>
      </c>
      <c r="Y70" s="106">
        <f>'[4]Simulação Real Aberta'!Y110</f>
        <v>721875</v>
      </c>
      <c r="Z70" s="106">
        <f>'[4]Simulação Real Aberta'!Z110</f>
        <v>0</v>
      </c>
      <c r="AA70" s="106">
        <f>'[4]Simulação Real Aberta'!AA110</f>
        <v>0</v>
      </c>
      <c r="AB70" s="106">
        <f>'[4]Simulação Real Aberta'!AB110</f>
        <v>0</v>
      </c>
      <c r="AC70" s="106">
        <f>'[4]Simulação Real Aberta'!AC110</f>
        <v>0</v>
      </c>
      <c r="AD70" s="106">
        <f>'[4]Simulação Real Aberta'!AD110</f>
        <v>0</v>
      </c>
      <c r="AE70" s="106">
        <f>'[4]Simulação Real Aberta'!AE110</f>
        <v>0</v>
      </c>
      <c r="AF70" s="106">
        <f>'[4]Simulação Real Aberta'!AF110</f>
        <v>0</v>
      </c>
      <c r="AG70" s="106">
        <f>'[4]Simulação Real Aberta'!AG110</f>
        <v>0</v>
      </c>
      <c r="AH70" s="106">
        <f>'[4]Simulação Real Aberta'!AH110</f>
        <v>0</v>
      </c>
      <c r="AI70" s="106">
        <f>'[4]Simulação Real Aberta'!AI110</f>
        <v>0</v>
      </c>
      <c r="AJ70" s="106">
        <f>'[4]Simulação Real Aberta'!AJ110</f>
        <v>0</v>
      </c>
      <c r="AK70" s="106">
        <f>'[4]Simulação Real Aberta'!AK110</f>
        <v>0</v>
      </c>
      <c r="AL70" s="106">
        <f>'[4]Simulação Real Aberta'!AL110</f>
        <v>0</v>
      </c>
      <c r="AM70" s="106">
        <f>'[4]Simulação Real Aberta'!AM110</f>
        <v>0</v>
      </c>
      <c r="AN70" s="106">
        <f>'[4]Simulação Real Aberta'!AN110</f>
        <v>0</v>
      </c>
      <c r="AO70" s="106">
        <f>'[4]Simulação Real Aberta'!AO110</f>
        <v>0</v>
      </c>
      <c r="AP70" s="106">
        <f>'[4]Simulação Real Aberta'!AP110</f>
        <v>0</v>
      </c>
      <c r="AQ70" s="106">
        <f>'[4]Simulação Real Aberta'!AQ110</f>
        <v>0</v>
      </c>
      <c r="AR70" s="106">
        <f>'[4]Simulação Real Aberta'!AR110</f>
        <v>0</v>
      </c>
      <c r="AS70" s="106">
        <f>'[4]Simulação Real Aberta'!AS110</f>
        <v>0</v>
      </c>
      <c r="AT70" s="106">
        <f>'[4]Simulação Real Aberta'!AT110</f>
        <v>0</v>
      </c>
      <c r="AU70" s="106">
        <f>'[4]Simulação Real Aberta'!AU110</f>
        <v>0</v>
      </c>
      <c r="AV70" s="106">
        <f>'[4]Simulação Real Aberta'!AV110</f>
        <v>0</v>
      </c>
      <c r="AW70" s="106">
        <f>'[4]Simulação Real Aberta'!AW110</f>
        <v>0</v>
      </c>
      <c r="AX70" s="106">
        <f>'[4]Simulação Real Aberta'!AX110</f>
        <v>0</v>
      </c>
      <c r="AY70" s="106">
        <f>'[4]Simulação Real Aberta'!AY110</f>
        <v>0</v>
      </c>
      <c r="AZ70" s="106">
        <f>'[4]Simulação Real Aberta'!AZ110</f>
        <v>0</v>
      </c>
      <c r="BA70" s="106">
        <f>'[4]Simulação Real Aberta'!BA110</f>
        <v>0</v>
      </c>
      <c r="BB70" s="106">
        <f>'[4]Simulação Real Aberta'!BB110</f>
        <v>0</v>
      </c>
      <c r="BC70" s="106">
        <f>'[4]Simulação Real Aberta'!BC110</f>
        <v>0</v>
      </c>
      <c r="BD70" s="106">
        <f>'[4]Simulação Real Aberta'!BD110</f>
        <v>680000</v>
      </c>
      <c r="BE70" s="106">
        <f>'[4]Simulação Real Aberta'!BE110</f>
        <v>6280000</v>
      </c>
      <c r="BF70" s="106">
        <f>'[4]Simulação Real Aberta'!BF110</f>
        <v>6960000</v>
      </c>
    </row>
    <row r="71" spans="1:58" x14ac:dyDescent="0.25">
      <c r="A71" s="171" t="s">
        <v>180</v>
      </c>
      <c r="B71" s="119">
        <v>6400000</v>
      </c>
      <c r="C71" s="119">
        <v>0</v>
      </c>
      <c r="D71" s="105">
        <f t="shared" si="15"/>
        <v>6400000</v>
      </c>
      <c r="F71" s="106">
        <f>'[4]Simulação Real Aberta'!F111</f>
        <v>0</v>
      </c>
      <c r="G71" s="106">
        <f>'[4]Simulação Real Aberta'!G111</f>
        <v>0</v>
      </c>
      <c r="H71" s="106">
        <f>'[4]Simulação Real Aberta'!H111</f>
        <v>0</v>
      </c>
      <c r="I71" s="106">
        <f>'[4]Simulação Real Aberta'!I111</f>
        <v>0</v>
      </c>
      <c r="J71" s="106">
        <f>'[4]Simulação Real Aberta'!J111</f>
        <v>1000000</v>
      </c>
      <c r="K71" s="106">
        <f>'[4]Simulação Real Aberta'!K111</f>
        <v>0</v>
      </c>
      <c r="L71" s="106">
        <f>'[4]Simulação Real Aberta'!L111</f>
        <v>1000000</v>
      </c>
      <c r="M71" s="106">
        <f>'[4]Simulação Real Aberta'!M111</f>
        <v>0</v>
      </c>
      <c r="N71" s="106">
        <f>'[4]Simulação Real Aberta'!N111</f>
        <v>2000000</v>
      </c>
      <c r="O71" s="106">
        <f>'[4]Simulação Real Aberta'!O111</f>
        <v>0</v>
      </c>
      <c r="P71" s="106">
        <f>'[4]Simulação Real Aberta'!P111</f>
        <v>1000000</v>
      </c>
      <c r="Q71" s="106">
        <f>'[4]Simulação Real Aberta'!Q111</f>
        <v>0</v>
      </c>
      <c r="R71" s="106">
        <f>'[4]Simulação Real Aberta'!R111</f>
        <v>1000000</v>
      </c>
      <c r="S71" s="106">
        <f>'[4]Simulação Real Aberta'!S111</f>
        <v>0</v>
      </c>
      <c r="T71" s="106">
        <f>'[4]Simulação Real Aberta'!T111</f>
        <v>1000000</v>
      </c>
      <c r="U71" s="106">
        <f>'[4]Simulação Real Aberta'!U111</f>
        <v>0</v>
      </c>
      <c r="V71" s="106">
        <f>'[4]Simulação Real Aberta'!V111</f>
        <v>1400000</v>
      </c>
      <c r="W71" s="106">
        <f>'[4]Simulação Real Aberta'!W111</f>
        <v>0</v>
      </c>
      <c r="X71" s="106">
        <f>'[4]Simulação Real Aberta'!X111</f>
        <v>4400000</v>
      </c>
      <c r="Y71" s="106">
        <f>'[4]Simulação Real Aberta'!Y111</f>
        <v>0</v>
      </c>
      <c r="Z71" s="106">
        <f>'[4]Simulação Real Aberta'!Z111</f>
        <v>0</v>
      </c>
      <c r="AA71" s="106">
        <f>'[4]Simulação Real Aberta'!AA111</f>
        <v>0</v>
      </c>
      <c r="AB71" s="106">
        <f>'[4]Simulação Real Aberta'!AB111</f>
        <v>0</v>
      </c>
      <c r="AC71" s="106">
        <f>'[4]Simulação Real Aberta'!AC111</f>
        <v>0</v>
      </c>
      <c r="AD71" s="106">
        <f>'[4]Simulação Real Aberta'!AD111</f>
        <v>0</v>
      </c>
      <c r="AE71" s="106">
        <f>'[4]Simulação Real Aberta'!AE111</f>
        <v>0</v>
      </c>
      <c r="AF71" s="106">
        <f>'[4]Simulação Real Aberta'!AF111</f>
        <v>0</v>
      </c>
      <c r="AG71" s="106">
        <f>'[4]Simulação Real Aberta'!AG111</f>
        <v>0</v>
      </c>
      <c r="AH71" s="106">
        <f>'[4]Simulação Real Aberta'!AH111</f>
        <v>0</v>
      </c>
      <c r="AI71" s="106">
        <f>'[4]Simulação Real Aberta'!AI111</f>
        <v>0</v>
      </c>
      <c r="AJ71" s="106">
        <f>'[4]Simulação Real Aberta'!AJ111</f>
        <v>0</v>
      </c>
      <c r="AK71" s="106">
        <f>'[4]Simulação Real Aberta'!AK111</f>
        <v>0</v>
      </c>
      <c r="AL71" s="106">
        <f>'[4]Simulação Real Aberta'!AL111</f>
        <v>0</v>
      </c>
      <c r="AM71" s="106">
        <f>'[4]Simulação Real Aberta'!AM111</f>
        <v>0</v>
      </c>
      <c r="AN71" s="106">
        <f>'[4]Simulação Real Aberta'!AN111</f>
        <v>0</v>
      </c>
      <c r="AO71" s="106">
        <f>'[4]Simulação Real Aberta'!AO111</f>
        <v>0</v>
      </c>
      <c r="AP71" s="106">
        <f>'[4]Simulação Real Aberta'!AP111</f>
        <v>0</v>
      </c>
      <c r="AQ71" s="106">
        <f>'[4]Simulação Real Aberta'!AQ111</f>
        <v>0</v>
      </c>
      <c r="AR71" s="106">
        <f>'[4]Simulação Real Aberta'!AR111</f>
        <v>0</v>
      </c>
      <c r="AS71" s="106">
        <f>'[4]Simulação Real Aberta'!AS111</f>
        <v>0</v>
      </c>
      <c r="AT71" s="106">
        <f>'[4]Simulação Real Aberta'!AT111</f>
        <v>0</v>
      </c>
      <c r="AU71" s="106">
        <f>'[4]Simulação Real Aberta'!AU111</f>
        <v>0</v>
      </c>
      <c r="AV71" s="106">
        <f>'[4]Simulação Real Aberta'!AV111</f>
        <v>0</v>
      </c>
      <c r="AW71" s="106">
        <f>'[4]Simulação Real Aberta'!AW111</f>
        <v>0</v>
      </c>
      <c r="AX71" s="106">
        <f>'[4]Simulação Real Aberta'!AX111</f>
        <v>0</v>
      </c>
      <c r="AY71" s="106">
        <f>'[4]Simulação Real Aberta'!AY111</f>
        <v>0</v>
      </c>
      <c r="AZ71" s="106">
        <f>'[4]Simulação Real Aberta'!AZ111</f>
        <v>0</v>
      </c>
      <c r="BA71" s="106">
        <f>'[4]Simulação Real Aberta'!BA111</f>
        <v>0</v>
      </c>
      <c r="BB71" s="106">
        <f>'[4]Simulação Real Aberta'!BB111</f>
        <v>0</v>
      </c>
      <c r="BC71" s="106">
        <f>'[4]Simulação Real Aberta'!BC111</f>
        <v>0</v>
      </c>
      <c r="BD71" s="106">
        <f>'[4]Simulação Real Aberta'!BD111</f>
        <v>6400000</v>
      </c>
      <c r="BE71" s="106">
        <f>'[4]Simulação Real Aberta'!BE111</f>
        <v>0</v>
      </c>
      <c r="BF71" s="106">
        <f>'[4]Simulação Real Aberta'!BF111</f>
        <v>6400000</v>
      </c>
    </row>
    <row r="72" spans="1:58" x14ac:dyDescent="0.25">
      <c r="A72" s="176" t="s">
        <v>181</v>
      </c>
      <c r="B72" s="177">
        <f>B4+B28+B38+B53+B69</f>
        <v>255680000.18000001</v>
      </c>
      <c r="C72" s="177">
        <f>C4+C28+C38+C53+C69</f>
        <v>255679999.69799998</v>
      </c>
      <c r="D72" s="177">
        <f>B72+C72</f>
        <v>511359999.87800002</v>
      </c>
      <c r="F72" s="207">
        <f>'[4]Simulação Real Aberta'!F112</f>
        <v>0</v>
      </c>
      <c r="G72" s="207">
        <f>'[4]Simulação Real Aberta'!G112</f>
        <v>27939830.100000001</v>
      </c>
      <c r="H72" s="207">
        <f>'[4]Simulação Real Aberta'!H112</f>
        <v>0</v>
      </c>
      <c r="I72" s="207">
        <f>'[4]Simulação Real Aberta'!I112</f>
        <v>1614674.9849999999</v>
      </c>
      <c r="J72" s="207">
        <f>'[4]Simulação Real Aberta'!J112</f>
        <v>12373462</v>
      </c>
      <c r="K72" s="207">
        <f>'[4]Simulação Real Aberta'!K112</f>
        <v>696875</v>
      </c>
      <c r="L72" s="207">
        <f>'[4]Simulação Real Aberta'!L112</f>
        <v>24298367.48</v>
      </c>
      <c r="M72" s="207">
        <f>'[4]Simulação Real Aberta'!M112</f>
        <v>7017517.5700000003</v>
      </c>
      <c r="N72" s="207">
        <f>'[4]Simulação Real Aberta'!N112</f>
        <v>73561735.480000004</v>
      </c>
      <c r="O72" s="207">
        <f>'[4]Simulação Real Aberta'!O112</f>
        <v>105549936.278</v>
      </c>
      <c r="P72" s="207">
        <f>'[4]Simulação Real Aberta'!P112</f>
        <v>20034671</v>
      </c>
      <c r="Q72" s="207">
        <f>'[4]Simulação Real Aberta'!Q112</f>
        <v>721875</v>
      </c>
      <c r="R72" s="207">
        <f>'[4]Simulação Real Aberta'!R112</f>
        <v>23225802.083333332</v>
      </c>
      <c r="S72" s="207">
        <f>'[4]Simulação Real Aberta'!S112</f>
        <v>0</v>
      </c>
      <c r="T72" s="207">
        <f>'[4]Simulação Real Aberta'!T112</f>
        <v>29191740.730533332</v>
      </c>
      <c r="U72" s="207">
        <f>'[4]Simulação Real Aberta'!U112</f>
        <v>0</v>
      </c>
      <c r="V72" s="207">
        <f>'[4]Simulação Real Aberta'!V112</f>
        <v>37829609.926133335</v>
      </c>
      <c r="W72" s="207">
        <f>'[4]Simulação Real Aberta'!W112</f>
        <v>6320642.5700000003</v>
      </c>
      <c r="X72" s="207">
        <f>'[4]Simulação Real Aberta'!X112</f>
        <v>110281823.74000001</v>
      </c>
      <c r="Y72" s="207">
        <f>'[4]Simulação Real Aberta'!Y112</f>
        <v>51798758.57</v>
      </c>
      <c r="Z72" s="207">
        <f>'[4]Simulação Real Aberta'!Z112</f>
        <v>22737846</v>
      </c>
      <c r="AA72" s="207">
        <f>'[4]Simulação Real Aberta'!AA112</f>
        <v>0</v>
      </c>
      <c r="AB72" s="207">
        <f>'[4]Simulação Real Aberta'!AB112</f>
        <v>22069702.359999999</v>
      </c>
      <c r="AC72" s="207">
        <f>'[4]Simulação Real Aberta'!AC112</f>
        <v>0</v>
      </c>
      <c r="AD72" s="207">
        <f>'[4]Simulação Real Aberta'!AD112</f>
        <v>5203710</v>
      </c>
      <c r="AE72" s="207">
        <f>'[4]Simulação Real Aberta'!AE112</f>
        <v>0</v>
      </c>
      <c r="AF72" s="207">
        <f>'[4]Simulação Real Aberta'!AF112</f>
        <v>4722464.47</v>
      </c>
      <c r="AG72" s="207">
        <f>'[4]Simulação Real Aberta'!AG112</f>
        <v>6320642.5700000003</v>
      </c>
      <c r="AH72" s="207">
        <f>'[4]Simulação Real Aberta'!AH112</f>
        <v>54733722.829999998</v>
      </c>
      <c r="AI72" s="207">
        <f>'[4]Simulação Real Aberta'!AI112</f>
        <v>98331304.849999994</v>
      </c>
      <c r="AJ72" s="207">
        <f>'[4]Simulação Real Aberta'!AJ112</f>
        <v>3626930</v>
      </c>
      <c r="AK72" s="207">
        <f>'[4]Simulação Real Aberta'!AK112</f>
        <v>0</v>
      </c>
      <c r="AL72" s="207">
        <f>'[4]Simulação Real Aberta'!AL112</f>
        <v>3733939</v>
      </c>
      <c r="AM72" s="207">
        <f>'[4]Simulação Real Aberta'!AM112</f>
        <v>0</v>
      </c>
      <c r="AN72" s="207">
        <f>'[4]Simulação Real Aberta'!AN112</f>
        <v>1912500</v>
      </c>
      <c r="AO72" s="207">
        <f>'[4]Simulação Real Aberta'!AO112</f>
        <v>0</v>
      </c>
      <c r="AP72" s="207">
        <f>'[4]Simulação Real Aberta'!AP112</f>
        <v>2162500</v>
      </c>
      <c r="AQ72" s="207">
        <f>'[4]Simulação Real Aberta'!AQ112</f>
        <v>0</v>
      </c>
      <c r="AR72" s="207">
        <f>'[4]Simulação Real Aberta'!AR112</f>
        <v>11435869</v>
      </c>
      <c r="AS72" s="207">
        <f>'[4]Simulação Real Aberta'!AS112</f>
        <v>0</v>
      </c>
      <c r="AT72" s="207">
        <f>'[4]Simulação Real Aberta'!AT112</f>
        <v>1912500</v>
      </c>
      <c r="AU72" s="207">
        <f>'[4]Simulação Real Aberta'!AU112</f>
        <v>0</v>
      </c>
      <c r="AV72" s="207">
        <f>'[4]Simulação Real Aberta'!AV112</f>
        <v>1376850</v>
      </c>
      <c r="AW72" s="207">
        <f>'[4]Simulação Real Aberta'!AW112</f>
        <v>0</v>
      </c>
      <c r="AX72" s="207">
        <f>'[4]Simulação Real Aberta'!AX112</f>
        <v>1133750</v>
      </c>
      <c r="AY72" s="207">
        <f>'[4]Simulação Real Aberta'!AY112</f>
        <v>0</v>
      </c>
      <c r="AZ72" s="207">
        <f>'[4]Simulação Real Aberta'!AZ112</f>
        <v>1243750</v>
      </c>
      <c r="BA72" s="207">
        <f>'[4]Simulação Real Aberta'!BA112</f>
        <v>0</v>
      </c>
      <c r="BB72" s="207">
        <f>'[4]Simulação Real Aberta'!BB112</f>
        <v>5666849</v>
      </c>
      <c r="BC72" s="207">
        <f>'[4]Simulação Real Aberta'!BC112</f>
        <v>0</v>
      </c>
      <c r="BD72" s="207">
        <f>'[4]Simulação Real Aberta'!BD112</f>
        <v>255680000.05000001</v>
      </c>
      <c r="BE72" s="207">
        <f>'[4]Simulação Real Aberta'!BE112</f>
        <v>255679999.69800001</v>
      </c>
      <c r="BF72" s="207">
        <f>'[4]Simulação Real Aberta'!BF112</f>
        <v>511359999.74799997</v>
      </c>
    </row>
    <row r="73" spans="1:58" x14ac:dyDescent="0.25">
      <c r="A73" s="178" t="s">
        <v>182</v>
      </c>
      <c r="B73" s="179">
        <v>255680000</v>
      </c>
      <c r="C73" s="179">
        <v>255680000</v>
      </c>
      <c r="D73" s="180">
        <f>B73+C73</f>
        <v>511360000</v>
      </c>
    </row>
    <row r="74" spans="1:58" x14ac:dyDescent="0.25">
      <c r="A74" s="178" t="s">
        <v>183</v>
      </c>
      <c r="B74" s="180">
        <f>B73-B72</f>
        <v>-0.18000000715255737</v>
      </c>
      <c r="C74" s="180">
        <f>C73-C72</f>
        <v>0.3020000159740448</v>
      </c>
      <c r="D74" s="180">
        <f>B74+C74</f>
        <v>0.12200000882148743</v>
      </c>
    </row>
    <row r="76" spans="1:58" x14ac:dyDescent="0.25">
      <c r="C76" s="185"/>
    </row>
    <row r="78" spans="1:58" x14ac:dyDescent="0.25">
      <c r="A78" s="187"/>
      <c r="B78" s="188">
        <v>0</v>
      </c>
      <c r="C78" s="188">
        <v>0</v>
      </c>
      <c r="D78" s="189"/>
    </row>
  </sheetData>
  <mergeCells count="34">
    <mergeCell ref="BB2:BC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AJ1:AS1"/>
    <mergeCell ref="T2:U2"/>
    <mergeCell ref="V2:W2"/>
    <mergeCell ref="X2:Y2"/>
    <mergeCell ref="Z2:AA2"/>
    <mergeCell ref="AB2:AC2"/>
    <mergeCell ref="AT1:BC1"/>
    <mergeCell ref="AD2:AE2"/>
    <mergeCell ref="BD1:BF1"/>
    <mergeCell ref="A2:A3"/>
    <mergeCell ref="B2:D2"/>
    <mergeCell ref="F2:G2"/>
    <mergeCell ref="H2:I2"/>
    <mergeCell ref="J2:K2"/>
    <mergeCell ref="L2:M2"/>
    <mergeCell ref="N2:O2"/>
    <mergeCell ref="P2:Q2"/>
    <mergeCell ref="R2:S2"/>
    <mergeCell ref="B1:D1"/>
    <mergeCell ref="F1:O1"/>
    <mergeCell ref="P1:Y1"/>
    <mergeCell ref="Z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22"/>
  <sheetViews>
    <sheetView zoomScale="90" zoomScaleNormal="9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A58" sqref="A58"/>
    </sheetView>
  </sheetViews>
  <sheetFormatPr defaultColWidth="9.140625" defaultRowHeight="15" x14ac:dyDescent="0.25"/>
  <cols>
    <col min="1" max="1" width="48.140625" customWidth="1"/>
    <col min="2" max="2" width="16.85546875" customWidth="1"/>
    <col min="3" max="3" width="19.5703125" customWidth="1"/>
    <col min="4" max="4" width="19.42578125" customWidth="1"/>
    <col min="5" max="5" width="9.140625" customWidth="1"/>
    <col min="6" max="6" width="11.42578125" customWidth="1"/>
    <col min="7" max="7" width="13.7109375" customWidth="1"/>
    <col min="8" max="9" width="12.85546875" customWidth="1"/>
    <col min="10" max="10" width="14.140625" customWidth="1"/>
    <col min="11" max="11" width="13.140625" customWidth="1"/>
    <col min="12" max="12" width="14.42578125" customWidth="1"/>
    <col min="13" max="13" width="13.140625" customWidth="1"/>
    <col min="14" max="14" width="14.42578125" customWidth="1"/>
    <col min="15" max="15" width="15" customWidth="1"/>
    <col min="16" max="16" width="14.140625" customWidth="1"/>
    <col min="17" max="17" width="12.7109375" customWidth="1"/>
    <col min="18" max="18" width="14.140625" customWidth="1"/>
    <col min="19" max="19" width="13.140625" customWidth="1"/>
    <col min="20" max="20" width="14.42578125" customWidth="1"/>
    <col min="21" max="21" width="13.140625" customWidth="1"/>
    <col min="22" max="22" width="14.42578125" customWidth="1"/>
    <col min="23" max="23" width="11.7109375" bestFit="1" customWidth="1"/>
    <col min="24" max="24" width="15" customWidth="1"/>
    <col min="25" max="25" width="14.140625" customWidth="1"/>
    <col min="26" max="26" width="14.42578125" customWidth="1"/>
    <col min="27" max="27" width="10.85546875" customWidth="1"/>
    <col min="28" max="28" width="14.42578125" customWidth="1"/>
    <col min="29" max="29" width="9.140625" customWidth="1"/>
    <col min="30" max="30" width="12.7109375" customWidth="1"/>
    <col min="31" max="31" width="10.85546875" customWidth="1"/>
    <col min="32" max="32" width="13.140625" customWidth="1"/>
    <col min="33" max="33" width="11.28515625" bestFit="1" customWidth="1"/>
    <col min="34" max="35" width="14.140625" customWidth="1"/>
    <col min="36" max="36" width="13.140625" customWidth="1"/>
    <col min="37" max="37" width="8" customWidth="1"/>
    <col min="38" max="38" width="13.140625" customWidth="1"/>
    <col min="39" max="39" width="8" customWidth="1"/>
    <col min="40" max="40" width="12.42578125" customWidth="1"/>
    <col min="41" max="41" width="8" customWidth="1"/>
    <col min="42" max="42" width="12.7109375" customWidth="1"/>
    <col min="43" max="43" width="8" customWidth="1"/>
    <col min="44" max="44" width="13.7109375" customWidth="1"/>
    <col min="45" max="45" width="9.140625" customWidth="1"/>
    <col min="46" max="46" width="12.42578125" customWidth="1"/>
    <col min="47" max="47" width="8" customWidth="1"/>
    <col min="48" max="48" width="12.7109375" customWidth="1"/>
    <col min="49" max="49" width="9.140625" customWidth="1"/>
    <col min="50" max="50" width="12.42578125" customWidth="1"/>
    <col min="51" max="51" width="8" customWidth="1"/>
    <col min="52" max="52" width="12.7109375" customWidth="1"/>
    <col min="53" max="53" width="8" customWidth="1"/>
    <col min="54" max="54" width="13.140625" customWidth="1"/>
    <col min="55" max="55" width="8" customWidth="1"/>
    <col min="56" max="56" width="15.5703125" customWidth="1"/>
    <col min="57" max="57" width="15" bestFit="1" customWidth="1"/>
    <col min="58" max="58" width="15.28515625" bestFit="1" customWidth="1"/>
  </cols>
  <sheetData>
    <row r="1" spans="1:58" x14ac:dyDescent="0.25">
      <c r="A1" s="94" t="s">
        <v>64</v>
      </c>
      <c r="B1" s="301" t="s">
        <v>65</v>
      </c>
      <c r="C1" s="301"/>
      <c r="D1" s="301"/>
      <c r="F1" s="300" t="s">
        <v>66</v>
      </c>
      <c r="G1" s="300"/>
      <c r="H1" s="300"/>
      <c r="I1" s="300"/>
      <c r="J1" s="300"/>
      <c r="K1" s="300"/>
      <c r="L1" s="300"/>
      <c r="M1" s="300"/>
      <c r="N1" s="300"/>
      <c r="O1" s="300"/>
      <c r="P1" s="299" t="s">
        <v>67</v>
      </c>
      <c r="Q1" s="299"/>
      <c r="R1" s="299"/>
      <c r="S1" s="299"/>
      <c r="T1" s="299"/>
      <c r="U1" s="299"/>
      <c r="V1" s="299"/>
      <c r="W1" s="299"/>
      <c r="X1" s="299"/>
      <c r="Y1" s="299"/>
      <c r="Z1" s="299" t="s">
        <v>68</v>
      </c>
      <c r="AA1" s="299"/>
      <c r="AB1" s="299"/>
      <c r="AC1" s="299"/>
      <c r="AD1" s="299"/>
      <c r="AE1" s="299"/>
      <c r="AF1" s="299"/>
      <c r="AG1" s="299"/>
      <c r="AH1" s="299"/>
      <c r="AI1" s="299"/>
      <c r="AJ1" s="299" t="s">
        <v>69</v>
      </c>
      <c r="AK1" s="299"/>
      <c r="AL1" s="299"/>
      <c r="AM1" s="299"/>
      <c r="AN1" s="299"/>
      <c r="AO1" s="299"/>
      <c r="AP1" s="299"/>
      <c r="AQ1" s="299"/>
      <c r="AR1" s="299"/>
      <c r="AS1" s="299"/>
      <c r="AT1" s="299" t="s">
        <v>70</v>
      </c>
      <c r="AU1" s="299"/>
      <c r="AV1" s="299"/>
      <c r="AW1" s="299"/>
      <c r="AX1" s="299"/>
      <c r="AY1" s="299"/>
      <c r="AZ1" s="299"/>
      <c r="BA1" s="299"/>
      <c r="BB1" s="299"/>
      <c r="BC1" s="299"/>
      <c r="BD1" s="299" t="s">
        <v>9</v>
      </c>
      <c r="BE1" s="299"/>
      <c r="BF1" s="299"/>
    </row>
    <row r="2" spans="1:58" x14ac:dyDescent="0.25">
      <c r="A2" s="297" t="s">
        <v>71</v>
      </c>
      <c r="B2" s="284" t="s">
        <v>72</v>
      </c>
      <c r="C2" s="285"/>
      <c r="D2" s="286"/>
      <c r="F2" s="300" t="s">
        <v>73</v>
      </c>
      <c r="G2" s="300"/>
      <c r="H2" s="300" t="s">
        <v>74</v>
      </c>
      <c r="I2" s="300"/>
      <c r="J2" s="300" t="s">
        <v>75</v>
      </c>
      <c r="K2" s="300"/>
      <c r="L2" s="300" t="s">
        <v>76</v>
      </c>
      <c r="M2" s="300"/>
      <c r="N2" s="300" t="str">
        <f>+'[2]CRONOGRAMA EXECUÇÃO'!E4</f>
        <v>Total</v>
      </c>
      <c r="O2" s="300"/>
      <c r="P2" s="299" t="s">
        <v>73</v>
      </c>
      <c r="Q2" s="299"/>
      <c r="R2" s="299" t="s">
        <v>74</v>
      </c>
      <c r="S2" s="299"/>
      <c r="T2" s="299" t="s">
        <v>75</v>
      </c>
      <c r="U2" s="299"/>
      <c r="V2" s="299" t="s">
        <v>76</v>
      </c>
      <c r="W2" s="299"/>
      <c r="X2" s="299" t="s">
        <v>47</v>
      </c>
      <c r="Y2" s="299"/>
      <c r="Z2" s="299" t="s">
        <v>73</v>
      </c>
      <c r="AA2" s="299"/>
      <c r="AB2" s="299" t="s">
        <v>74</v>
      </c>
      <c r="AC2" s="299"/>
      <c r="AD2" s="299" t="s">
        <v>75</v>
      </c>
      <c r="AE2" s="299"/>
      <c r="AF2" s="299" t="s">
        <v>76</v>
      </c>
      <c r="AG2" s="299"/>
      <c r="AH2" s="299" t="s">
        <v>47</v>
      </c>
      <c r="AI2" s="299"/>
      <c r="AJ2" s="299" t="s">
        <v>73</v>
      </c>
      <c r="AK2" s="299"/>
      <c r="AL2" s="299" t="s">
        <v>74</v>
      </c>
      <c r="AM2" s="299"/>
      <c r="AN2" s="299" t="s">
        <v>75</v>
      </c>
      <c r="AO2" s="299"/>
      <c r="AP2" s="299" t="s">
        <v>76</v>
      </c>
      <c r="AQ2" s="299"/>
      <c r="AR2" s="299" t="s">
        <v>47</v>
      </c>
      <c r="AS2" s="299"/>
      <c r="AT2" s="299" t="s">
        <v>73</v>
      </c>
      <c r="AU2" s="299"/>
      <c r="AV2" s="299" t="s">
        <v>74</v>
      </c>
      <c r="AW2" s="299"/>
      <c r="AX2" s="299" t="s">
        <v>75</v>
      </c>
      <c r="AY2" s="299"/>
      <c r="AZ2" s="299" t="s">
        <v>76</v>
      </c>
      <c r="BA2" s="299"/>
      <c r="BB2" s="299" t="s">
        <v>47</v>
      </c>
      <c r="BC2" s="299"/>
      <c r="BD2" s="95" t="s">
        <v>15</v>
      </c>
      <c r="BE2" s="95" t="s">
        <v>77</v>
      </c>
      <c r="BF2" s="95" t="s">
        <v>9</v>
      </c>
    </row>
    <row r="3" spans="1:58" x14ac:dyDescent="0.25">
      <c r="A3" s="298"/>
      <c r="B3" s="96" t="s">
        <v>15</v>
      </c>
      <c r="C3" s="96" t="s">
        <v>16</v>
      </c>
      <c r="D3" s="96" t="s">
        <v>47</v>
      </c>
      <c r="F3" s="97" t="s">
        <v>15</v>
      </c>
      <c r="G3" s="97" t="s">
        <v>77</v>
      </c>
      <c r="H3" s="97" t="s">
        <v>15</v>
      </c>
      <c r="I3" s="97" t="s">
        <v>77</v>
      </c>
      <c r="J3" s="97" t="s">
        <v>15</v>
      </c>
      <c r="K3" s="97" t="s">
        <v>77</v>
      </c>
      <c r="L3" s="97" t="s">
        <v>15</v>
      </c>
      <c r="M3" s="97" t="s">
        <v>77</v>
      </c>
      <c r="N3" s="97" t="s">
        <v>15</v>
      </c>
      <c r="O3" s="97" t="s">
        <v>77</v>
      </c>
      <c r="P3" s="97" t="s">
        <v>15</v>
      </c>
      <c r="Q3" s="97" t="s">
        <v>77</v>
      </c>
      <c r="R3" s="97" t="s">
        <v>15</v>
      </c>
      <c r="S3" s="97" t="s">
        <v>77</v>
      </c>
      <c r="T3" s="97" t="s">
        <v>15</v>
      </c>
      <c r="U3" s="97" t="s">
        <v>77</v>
      </c>
      <c r="V3" s="97" t="s">
        <v>15</v>
      </c>
      <c r="W3" s="97" t="s">
        <v>77</v>
      </c>
      <c r="X3" s="97" t="s">
        <v>15</v>
      </c>
      <c r="Y3" s="97" t="s">
        <v>77</v>
      </c>
      <c r="Z3" s="97" t="s">
        <v>15</v>
      </c>
      <c r="AA3" s="97" t="s">
        <v>77</v>
      </c>
      <c r="AB3" s="97" t="s">
        <v>15</v>
      </c>
      <c r="AC3" s="97" t="s">
        <v>77</v>
      </c>
      <c r="AD3" s="97" t="s">
        <v>15</v>
      </c>
      <c r="AE3" s="97" t="s">
        <v>77</v>
      </c>
      <c r="AF3" s="97" t="s">
        <v>15</v>
      </c>
      <c r="AG3" s="97" t="s">
        <v>77</v>
      </c>
      <c r="AH3" s="97" t="s">
        <v>15</v>
      </c>
      <c r="AI3" s="97" t="s">
        <v>77</v>
      </c>
      <c r="AJ3" s="97" t="s">
        <v>15</v>
      </c>
      <c r="AK3" s="97" t="s">
        <v>77</v>
      </c>
      <c r="AL3" s="97" t="s">
        <v>15</v>
      </c>
      <c r="AM3" s="97" t="s">
        <v>77</v>
      </c>
      <c r="AN3" s="97" t="s">
        <v>15</v>
      </c>
      <c r="AO3" s="97" t="s">
        <v>77</v>
      </c>
      <c r="AP3" s="97" t="s">
        <v>15</v>
      </c>
      <c r="AQ3" s="97" t="s">
        <v>77</v>
      </c>
      <c r="AR3" s="97" t="s">
        <v>15</v>
      </c>
      <c r="AS3" s="97" t="s">
        <v>77</v>
      </c>
      <c r="AT3" s="97" t="s">
        <v>15</v>
      </c>
      <c r="AU3" s="97" t="s">
        <v>77</v>
      </c>
      <c r="AV3" s="97" t="s">
        <v>15</v>
      </c>
      <c r="AW3" s="97" t="s">
        <v>77</v>
      </c>
      <c r="AX3" s="97" t="s">
        <v>15</v>
      </c>
      <c r="AY3" s="97" t="s">
        <v>77</v>
      </c>
      <c r="AZ3" s="97" t="s">
        <v>15</v>
      </c>
      <c r="BA3" s="97" t="s">
        <v>77</v>
      </c>
      <c r="BB3" s="97" t="s">
        <v>15</v>
      </c>
      <c r="BC3" s="97" t="s">
        <v>77</v>
      </c>
      <c r="BD3" s="98"/>
      <c r="BE3" s="98"/>
      <c r="BF3" s="99"/>
    </row>
    <row r="4" spans="1:58" ht="39" customHeight="1" x14ac:dyDescent="0.25">
      <c r="A4" s="100" t="s">
        <v>78</v>
      </c>
      <c r="B4" s="101">
        <f>B5+B33+B44</f>
        <v>71179435.229999989</v>
      </c>
      <c r="C4" s="101">
        <f>C5+C33+C44</f>
        <v>248484999.69800001</v>
      </c>
      <c r="D4" s="101">
        <f>B4+C4</f>
        <v>319664434.92799997</v>
      </c>
      <c r="F4" s="101">
        <f t="shared" ref="F4:BC4" si="0">+F5+F33+F44</f>
        <v>0</v>
      </c>
      <c r="G4" s="101">
        <f t="shared" si="0"/>
        <v>25152330.100000001</v>
      </c>
      <c r="H4" s="101">
        <f t="shared" si="0"/>
        <v>0</v>
      </c>
      <c r="I4" s="101">
        <f t="shared" si="0"/>
        <v>917799.98499999999</v>
      </c>
      <c r="J4" s="101">
        <f t="shared" si="0"/>
        <v>2505036</v>
      </c>
      <c r="K4" s="101">
        <f t="shared" si="0"/>
        <v>0</v>
      </c>
      <c r="L4" s="101">
        <f t="shared" si="0"/>
        <v>3192275.48</v>
      </c>
      <c r="M4" s="101">
        <f t="shared" si="0"/>
        <v>6320642.5700000003</v>
      </c>
      <c r="N4" s="101">
        <f t="shared" si="0"/>
        <v>41907217.480000004</v>
      </c>
      <c r="O4" s="101">
        <f t="shared" si="0"/>
        <v>99076811.277999997</v>
      </c>
      <c r="P4" s="101">
        <f t="shared" si="0"/>
        <v>1795738</v>
      </c>
      <c r="Q4" s="101">
        <f t="shared" si="0"/>
        <v>0</v>
      </c>
      <c r="R4" s="101">
        <f t="shared" si="0"/>
        <v>2121455.083333333</v>
      </c>
      <c r="S4" s="101">
        <f t="shared" si="0"/>
        <v>0</v>
      </c>
      <c r="T4" s="101">
        <f t="shared" si="0"/>
        <v>6684679.7305333335</v>
      </c>
      <c r="U4" s="101">
        <f t="shared" si="0"/>
        <v>0</v>
      </c>
      <c r="V4" s="101">
        <f t="shared" si="0"/>
        <v>11901826.926133335</v>
      </c>
      <c r="W4" s="101">
        <f t="shared" si="0"/>
        <v>6320642.5700000003</v>
      </c>
      <c r="X4" s="101">
        <f t="shared" si="0"/>
        <v>22503699.740000002</v>
      </c>
      <c r="Y4" s="101">
        <f t="shared" si="0"/>
        <v>51076883.57</v>
      </c>
      <c r="Z4" s="101">
        <f t="shared" si="0"/>
        <v>1275000</v>
      </c>
      <c r="AA4" s="101">
        <f t="shared" si="0"/>
        <v>0</v>
      </c>
      <c r="AB4" s="101">
        <f t="shared" si="0"/>
        <v>2603874.41</v>
      </c>
      <c r="AC4" s="101">
        <f t="shared" si="0"/>
        <v>0</v>
      </c>
      <c r="AD4" s="101">
        <f t="shared" si="0"/>
        <v>1300000</v>
      </c>
      <c r="AE4" s="101">
        <f t="shared" si="0"/>
        <v>0</v>
      </c>
      <c r="AF4" s="101">
        <f t="shared" si="0"/>
        <v>839644.46999999974</v>
      </c>
      <c r="AG4" s="101">
        <f t="shared" si="0"/>
        <v>6320642.5700000003</v>
      </c>
      <c r="AH4" s="101">
        <f t="shared" si="0"/>
        <v>6018518.8799999999</v>
      </c>
      <c r="AI4" s="101">
        <f t="shared" si="0"/>
        <v>98331304.849999994</v>
      </c>
      <c r="AJ4" s="101">
        <f t="shared" si="0"/>
        <v>100000</v>
      </c>
      <c r="AK4" s="101">
        <f t="shared" si="0"/>
        <v>0</v>
      </c>
      <c r="AL4" s="101">
        <f t="shared" si="0"/>
        <v>100000</v>
      </c>
      <c r="AM4" s="101">
        <f t="shared" si="0"/>
        <v>0</v>
      </c>
      <c r="AN4" s="101">
        <f t="shared" si="0"/>
        <v>100000</v>
      </c>
      <c r="AO4" s="101">
        <f t="shared" si="0"/>
        <v>0</v>
      </c>
      <c r="AP4" s="101">
        <f t="shared" si="0"/>
        <v>100000</v>
      </c>
      <c r="AQ4" s="101">
        <f t="shared" si="0"/>
        <v>0</v>
      </c>
      <c r="AR4" s="101">
        <f t="shared" si="0"/>
        <v>400000</v>
      </c>
      <c r="AS4" s="101">
        <f t="shared" si="0"/>
        <v>0</v>
      </c>
      <c r="AT4" s="101">
        <f t="shared" si="0"/>
        <v>100000</v>
      </c>
      <c r="AU4" s="101">
        <f t="shared" si="0"/>
        <v>0</v>
      </c>
      <c r="AV4" s="101">
        <f t="shared" si="0"/>
        <v>100000</v>
      </c>
      <c r="AW4" s="101">
        <f t="shared" si="0"/>
        <v>0</v>
      </c>
      <c r="AX4" s="101">
        <f t="shared" si="0"/>
        <v>100000</v>
      </c>
      <c r="AY4" s="101">
        <f t="shared" si="0"/>
        <v>0</v>
      </c>
      <c r="AZ4" s="101">
        <f t="shared" si="0"/>
        <v>50000</v>
      </c>
      <c r="BA4" s="101">
        <f t="shared" si="0"/>
        <v>0</v>
      </c>
      <c r="BB4" s="101">
        <f t="shared" si="0"/>
        <v>350000</v>
      </c>
      <c r="BC4" s="101">
        <f t="shared" si="0"/>
        <v>0</v>
      </c>
      <c r="BD4" s="101">
        <f>+BD5+BD33+BD44</f>
        <v>71179436.099999994</v>
      </c>
      <c r="BE4" s="101">
        <f>+BE5+BE33+BE44</f>
        <v>248484999.69800001</v>
      </c>
      <c r="BF4" s="101">
        <f>+BF5+BF33+BF44</f>
        <v>319664435.79799998</v>
      </c>
    </row>
    <row r="5" spans="1:58" ht="27" customHeight="1" x14ac:dyDescent="0.25">
      <c r="A5" s="102" t="s">
        <v>79</v>
      </c>
      <c r="B5" s="103">
        <f>B6+B7+B8+B9+B10+B11+B12+B13+B14+B15+B16+B18+B20+B21+B22+B23+B24+B25+B26+B27+B28+B29+B30+B31+B32+B17+B19</f>
        <v>11695292.049999999</v>
      </c>
      <c r="C5" s="103">
        <f>SUM(C6:C32)</f>
        <v>70753188.966000006</v>
      </c>
      <c r="D5" s="103">
        <f>B5+C5</f>
        <v>82448481.016000003</v>
      </c>
      <c r="F5" s="103">
        <f t="shared" ref="F5:BC5" si="1">SUM(F6:F32)</f>
        <v>0</v>
      </c>
      <c r="G5" s="103">
        <f t="shared" si="1"/>
        <v>15755122</v>
      </c>
      <c r="H5" s="103">
        <f t="shared" si="1"/>
        <v>0</v>
      </c>
      <c r="I5" s="103">
        <f t="shared" si="1"/>
        <v>0</v>
      </c>
      <c r="J5" s="103">
        <f t="shared" si="1"/>
        <v>948930</v>
      </c>
      <c r="K5" s="103">
        <f t="shared" si="1"/>
        <v>0</v>
      </c>
      <c r="L5" s="103">
        <f t="shared" si="1"/>
        <v>616310</v>
      </c>
      <c r="M5" s="103">
        <f t="shared" si="1"/>
        <v>0</v>
      </c>
      <c r="N5" s="103">
        <f t="shared" si="1"/>
        <v>1050904</v>
      </c>
      <c r="O5" s="103">
        <f t="shared" si="1"/>
        <v>54891188.966000006</v>
      </c>
      <c r="P5" s="103">
        <f t="shared" si="1"/>
        <v>425000</v>
      </c>
      <c r="Q5" s="103">
        <f t="shared" si="1"/>
        <v>0</v>
      </c>
      <c r="R5" s="103">
        <f t="shared" si="1"/>
        <v>425000</v>
      </c>
      <c r="S5" s="103">
        <f t="shared" si="1"/>
        <v>0</v>
      </c>
      <c r="T5" s="103">
        <f t="shared" si="1"/>
        <v>5211498.8332000002</v>
      </c>
      <c r="U5" s="103">
        <f t="shared" si="1"/>
        <v>0</v>
      </c>
      <c r="V5" s="103">
        <f t="shared" si="1"/>
        <v>3482890.0868000006</v>
      </c>
      <c r="W5" s="103">
        <f t="shared" si="1"/>
        <v>0</v>
      </c>
      <c r="X5" s="103">
        <f t="shared" si="1"/>
        <v>9544388.9199999999</v>
      </c>
      <c r="Y5" s="103">
        <f t="shared" si="1"/>
        <v>15862000</v>
      </c>
      <c r="Z5" s="103">
        <f t="shared" si="1"/>
        <v>75000</v>
      </c>
      <c r="AA5" s="103">
        <f t="shared" si="1"/>
        <v>0</v>
      </c>
      <c r="AB5" s="103">
        <f t="shared" si="1"/>
        <v>75000</v>
      </c>
      <c r="AC5" s="103">
        <f t="shared" si="1"/>
        <v>0</v>
      </c>
      <c r="AD5" s="103">
        <f t="shared" si="1"/>
        <v>100000</v>
      </c>
      <c r="AE5" s="103">
        <f t="shared" si="1"/>
        <v>0</v>
      </c>
      <c r="AF5" s="103">
        <f t="shared" si="1"/>
        <v>100000</v>
      </c>
      <c r="AG5" s="103">
        <f t="shared" si="1"/>
        <v>0</v>
      </c>
      <c r="AH5" s="103">
        <f t="shared" si="1"/>
        <v>350000</v>
      </c>
      <c r="AI5" s="103">
        <f t="shared" si="1"/>
        <v>0</v>
      </c>
      <c r="AJ5" s="103">
        <f t="shared" si="1"/>
        <v>100000</v>
      </c>
      <c r="AK5" s="103">
        <f t="shared" si="1"/>
        <v>0</v>
      </c>
      <c r="AL5" s="103">
        <f t="shared" si="1"/>
        <v>100000</v>
      </c>
      <c r="AM5" s="103">
        <f t="shared" si="1"/>
        <v>0</v>
      </c>
      <c r="AN5" s="103">
        <f t="shared" si="1"/>
        <v>100000</v>
      </c>
      <c r="AO5" s="103">
        <f t="shared" si="1"/>
        <v>0</v>
      </c>
      <c r="AP5" s="103">
        <f t="shared" si="1"/>
        <v>100000</v>
      </c>
      <c r="AQ5" s="103">
        <f t="shared" si="1"/>
        <v>0</v>
      </c>
      <c r="AR5" s="103">
        <f t="shared" si="1"/>
        <v>400000</v>
      </c>
      <c r="AS5" s="103">
        <f t="shared" si="1"/>
        <v>0</v>
      </c>
      <c r="AT5" s="103">
        <f t="shared" si="1"/>
        <v>100000</v>
      </c>
      <c r="AU5" s="103">
        <f t="shared" si="1"/>
        <v>0</v>
      </c>
      <c r="AV5" s="103">
        <f t="shared" si="1"/>
        <v>100000</v>
      </c>
      <c r="AW5" s="103">
        <f t="shared" si="1"/>
        <v>0</v>
      </c>
      <c r="AX5" s="103">
        <f t="shared" si="1"/>
        <v>100000</v>
      </c>
      <c r="AY5" s="103">
        <f t="shared" si="1"/>
        <v>0</v>
      </c>
      <c r="AZ5" s="103">
        <f t="shared" si="1"/>
        <v>50000</v>
      </c>
      <c r="BA5" s="103">
        <f t="shared" si="1"/>
        <v>0</v>
      </c>
      <c r="BB5" s="103">
        <f t="shared" si="1"/>
        <v>350000</v>
      </c>
      <c r="BC5" s="103">
        <f t="shared" si="1"/>
        <v>0</v>
      </c>
      <c r="BD5" s="103">
        <f>SUM(BD6:BD32)</f>
        <v>11695292.92</v>
      </c>
      <c r="BE5" s="103">
        <f>SUM(BE6:BE32)</f>
        <v>70753188.966000006</v>
      </c>
      <c r="BF5" s="103">
        <f>SUM(BF6:BF32)</f>
        <v>82448481.886000022</v>
      </c>
    </row>
    <row r="6" spans="1:58" ht="27.75" customHeight="1" x14ac:dyDescent="0.25">
      <c r="A6" s="104" t="s">
        <v>80</v>
      </c>
      <c r="B6" s="105">
        <v>0</v>
      </c>
      <c r="C6" s="105">
        <v>0</v>
      </c>
      <c r="D6" s="106">
        <f t="shared" ref="D6:D32" si="2">B6+C6</f>
        <v>0</v>
      </c>
      <c r="F6" s="107"/>
      <c r="G6" s="107"/>
      <c r="H6" s="107"/>
      <c r="I6" s="107"/>
      <c r="J6" s="107"/>
      <c r="K6" s="107"/>
      <c r="L6" s="107"/>
      <c r="M6" s="107"/>
      <c r="N6" s="107">
        <f>+L6+J6+H6+F6</f>
        <v>0</v>
      </c>
      <c r="O6" s="107">
        <f>+M6+K6+I6+G6</f>
        <v>0</v>
      </c>
      <c r="P6" s="107"/>
      <c r="Q6" s="107">
        <v>0</v>
      </c>
      <c r="R6" s="107"/>
      <c r="S6" s="107">
        <v>0</v>
      </c>
      <c r="T6" s="107"/>
      <c r="U6" s="107"/>
      <c r="V6" s="107"/>
      <c r="W6" s="107"/>
      <c r="X6" s="107">
        <f>+P6+R6+T6+V6</f>
        <v>0</v>
      </c>
      <c r="Y6" s="107">
        <f>+Q6+S6+U6+W6</f>
        <v>0</v>
      </c>
      <c r="Z6" s="107"/>
      <c r="AA6" s="107"/>
      <c r="AB6" s="107"/>
      <c r="AC6" s="107"/>
      <c r="AD6" s="107">
        <v>0</v>
      </c>
      <c r="AE6" s="107"/>
      <c r="AF6" s="107">
        <v>0</v>
      </c>
      <c r="AG6" s="107"/>
      <c r="AH6" s="107">
        <f>+Z6+AB6+AD6+AF6</f>
        <v>0</v>
      </c>
      <c r="AI6" s="107">
        <f>+AA6+AC6+AE6+AG6</f>
        <v>0</v>
      </c>
      <c r="AJ6" s="107">
        <v>0</v>
      </c>
      <c r="AK6" s="107"/>
      <c r="AL6" s="107">
        <v>0</v>
      </c>
      <c r="AM6" s="107"/>
      <c r="AN6" s="107">
        <v>0</v>
      </c>
      <c r="AO6" s="107"/>
      <c r="AP6" s="107">
        <v>0</v>
      </c>
      <c r="AQ6" s="107"/>
      <c r="AR6" s="107">
        <f>+AJ6+AL6+AN6+AP6</f>
        <v>0</v>
      </c>
      <c r="AS6" s="107">
        <f>+AK6+AM6+AO6+AQ6</f>
        <v>0</v>
      </c>
      <c r="AT6" s="107">
        <v>0</v>
      </c>
      <c r="AU6" s="107">
        <v>0</v>
      </c>
      <c r="AV6" s="107">
        <v>0</v>
      </c>
      <c r="AW6" s="107">
        <v>0</v>
      </c>
      <c r="AX6" s="107">
        <v>0</v>
      </c>
      <c r="AY6" s="107">
        <v>0</v>
      </c>
      <c r="AZ6" s="107">
        <v>0</v>
      </c>
      <c r="BA6" s="107">
        <v>0</v>
      </c>
      <c r="BB6" s="107">
        <f>+AZ6+AX6+AV6+AT6</f>
        <v>0</v>
      </c>
      <c r="BC6" s="107">
        <f>+BA6+AY6+AW6+AU6</f>
        <v>0</v>
      </c>
      <c r="BD6" s="107">
        <f t="shared" ref="BD6:BE8" si="3">+BB6+AR6+AH6+X6+N6</f>
        <v>0</v>
      </c>
      <c r="BE6" s="107">
        <f t="shared" si="3"/>
        <v>0</v>
      </c>
      <c r="BF6" s="107">
        <f>+BE6+BD6</f>
        <v>0</v>
      </c>
    </row>
    <row r="7" spans="1:58" ht="30" customHeight="1" x14ac:dyDescent="0.25">
      <c r="A7" s="104" t="s">
        <v>81</v>
      </c>
      <c r="B7" s="105">
        <v>0</v>
      </c>
      <c r="C7" s="105">
        <v>0</v>
      </c>
      <c r="D7" s="106">
        <f t="shared" si="2"/>
        <v>0</v>
      </c>
      <c r="F7" s="108"/>
      <c r="G7" s="108"/>
      <c r="H7" s="108"/>
      <c r="I7" s="108">
        <v>0</v>
      </c>
      <c r="J7" s="109"/>
      <c r="K7" s="108">
        <v>0</v>
      </c>
      <c r="L7" s="109"/>
      <c r="M7" s="108">
        <v>0</v>
      </c>
      <c r="N7" s="108">
        <f>+L7+J7+F7+H7</f>
        <v>0</v>
      </c>
      <c r="O7" s="108">
        <f>+M7+K7+G7+I7</f>
        <v>0</v>
      </c>
      <c r="P7" s="109"/>
      <c r="Q7" s="109">
        <v>0</v>
      </c>
      <c r="R7" s="109"/>
      <c r="S7" s="109">
        <v>0</v>
      </c>
      <c r="T7" s="109"/>
      <c r="U7" s="109">
        <v>0</v>
      </c>
      <c r="V7" s="109"/>
      <c r="W7" s="109">
        <v>0</v>
      </c>
      <c r="X7" s="108">
        <f>+V7+T7+P7+R7</f>
        <v>0</v>
      </c>
      <c r="Y7" s="108">
        <f>+W7+U7+Q7+S7</f>
        <v>0</v>
      </c>
      <c r="Z7" s="109"/>
      <c r="AA7" s="109"/>
      <c r="AB7" s="109"/>
      <c r="AC7" s="109"/>
      <c r="AD7" s="109"/>
      <c r="AE7" s="109"/>
      <c r="AF7" s="109"/>
      <c r="AG7" s="109"/>
      <c r="AH7" s="108"/>
      <c r="AI7" s="108"/>
      <c r="AJ7" s="109"/>
      <c r="AK7" s="109"/>
      <c r="AL7" s="109"/>
      <c r="AM7" s="109"/>
      <c r="AN7" s="109"/>
      <c r="AO7" s="109"/>
      <c r="AP7" s="109"/>
      <c r="AQ7" s="109"/>
      <c r="AR7" s="108"/>
      <c r="AS7" s="108"/>
      <c r="AT7" s="109"/>
      <c r="AU7" s="109"/>
      <c r="AV7" s="109"/>
      <c r="AW7" s="109"/>
      <c r="AX7" s="109"/>
      <c r="AY7" s="109"/>
      <c r="AZ7" s="109"/>
      <c r="BA7" s="109"/>
      <c r="BB7" s="108"/>
      <c r="BC7" s="108"/>
      <c r="BD7" s="108">
        <f t="shared" si="3"/>
        <v>0</v>
      </c>
      <c r="BE7" s="108">
        <f t="shared" si="3"/>
        <v>0</v>
      </c>
      <c r="BF7" s="107">
        <f>BD7+BE7</f>
        <v>0</v>
      </c>
    </row>
    <row r="8" spans="1:58" x14ac:dyDescent="0.25">
      <c r="A8" s="110" t="s">
        <v>82</v>
      </c>
      <c r="B8" s="105">
        <v>1250000</v>
      </c>
      <c r="C8" s="105">
        <v>0</v>
      </c>
      <c r="D8" s="106">
        <f t="shared" si="2"/>
        <v>1250000</v>
      </c>
      <c r="F8" s="108">
        <v>0</v>
      </c>
      <c r="G8" s="108"/>
      <c r="H8" s="108">
        <v>0</v>
      </c>
      <c r="I8" s="108"/>
      <c r="J8" s="108">
        <v>0</v>
      </c>
      <c r="K8" s="108"/>
      <c r="L8" s="108">
        <v>0</v>
      </c>
      <c r="M8" s="108"/>
      <c r="N8" s="108">
        <f>+L8+J8+H8+F8</f>
        <v>0</v>
      </c>
      <c r="O8" s="108">
        <f>+M8+K8+I8+G8</f>
        <v>0</v>
      </c>
      <c r="P8" s="108">
        <v>25000</v>
      </c>
      <c r="Q8" s="109"/>
      <c r="R8" s="108">
        <v>25000</v>
      </c>
      <c r="S8" s="109"/>
      <c r="T8" s="108">
        <v>50000</v>
      </c>
      <c r="U8" s="109"/>
      <c r="V8" s="108">
        <v>50000</v>
      </c>
      <c r="W8" s="109"/>
      <c r="X8" s="108">
        <f>+V8+T8+R8+P8</f>
        <v>150000</v>
      </c>
      <c r="Y8" s="108">
        <f>+W8+U8+S8+Q8</f>
        <v>0</v>
      </c>
      <c r="Z8" s="108">
        <v>75000</v>
      </c>
      <c r="AA8" s="109"/>
      <c r="AB8" s="108">
        <v>75000</v>
      </c>
      <c r="AC8" s="109"/>
      <c r="AD8" s="108">
        <v>100000</v>
      </c>
      <c r="AE8" s="109"/>
      <c r="AF8" s="108">
        <v>100000</v>
      </c>
      <c r="AG8" s="109"/>
      <c r="AH8" s="108">
        <f>+AF8+AD8+AB8+Z8</f>
        <v>350000</v>
      </c>
      <c r="AI8" s="108">
        <f>+AG8+AE8+AC8+AA8</f>
        <v>0</v>
      </c>
      <c r="AJ8" s="108">
        <v>100000</v>
      </c>
      <c r="AK8" s="109"/>
      <c r="AL8" s="108">
        <v>100000</v>
      </c>
      <c r="AM8" s="109"/>
      <c r="AN8" s="108">
        <v>100000</v>
      </c>
      <c r="AO8" s="109"/>
      <c r="AP8" s="108">
        <v>100000</v>
      </c>
      <c r="AQ8" s="109"/>
      <c r="AR8" s="108">
        <f>+AP8+AN8+AL8+AJ8</f>
        <v>400000</v>
      </c>
      <c r="AS8" s="108">
        <f>+AQ8+AO8+AM8+AK8</f>
        <v>0</v>
      </c>
      <c r="AT8" s="108">
        <v>100000</v>
      </c>
      <c r="AU8" s="109"/>
      <c r="AV8" s="108">
        <v>100000</v>
      </c>
      <c r="AW8" s="109"/>
      <c r="AX8" s="108">
        <v>100000</v>
      </c>
      <c r="AY8" s="109"/>
      <c r="AZ8" s="108">
        <v>50000</v>
      </c>
      <c r="BA8" s="109"/>
      <c r="BB8" s="108">
        <f>+AZ8+AX8+AV8+AT8</f>
        <v>350000</v>
      </c>
      <c r="BC8" s="108">
        <f>+BA8+AY8+AW8+AU8</f>
        <v>0</v>
      </c>
      <c r="BD8" s="108">
        <f t="shared" si="3"/>
        <v>1250000</v>
      </c>
      <c r="BE8" s="108">
        <f t="shared" si="3"/>
        <v>0</v>
      </c>
      <c r="BF8" s="108">
        <f t="shared" ref="BF8" si="4">+BE8+BD8</f>
        <v>1250000</v>
      </c>
    </row>
    <row r="9" spans="1:58" x14ac:dyDescent="0.25">
      <c r="A9" s="111" t="s">
        <v>83</v>
      </c>
      <c r="B9" s="112">
        <v>0</v>
      </c>
      <c r="C9" s="112">
        <v>15862000</v>
      </c>
      <c r="D9" s="113">
        <f t="shared" si="2"/>
        <v>15862000</v>
      </c>
      <c r="F9" s="108"/>
      <c r="G9" s="108"/>
      <c r="H9" s="108"/>
      <c r="I9" s="108"/>
      <c r="J9" s="109"/>
      <c r="K9" s="108"/>
      <c r="L9" s="109"/>
      <c r="M9" s="108"/>
      <c r="N9" s="108"/>
      <c r="O9" s="108"/>
      <c r="P9" s="109"/>
      <c r="Q9" s="109"/>
      <c r="R9" s="109"/>
      <c r="S9" s="109"/>
      <c r="T9" s="109"/>
      <c r="U9" s="109"/>
      <c r="V9" s="109"/>
      <c r="W9" s="109"/>
      <c r="X9" s="108"/>
      <c r="Y9" s="114">
        <v>15862000</v>
      </c>
      <c r="Z9" s="109"/>
      <c r="AA9" s="109"/>
      <c r="AB9" s="109"/>
      <c r="AC9" s="109"/>
      <c r="AD9" s="109"/>
      <c r="AE9" s="109"/>
      <c r="AF9" s="109"/>
      <c r="AG9" s="109"/>
      <c r="AH9" s="108"/>
      <c r="AI9" s="108"/>
      <c r="AJ9" s="109"/>
      <c r="AK9" s="109"/>
      <c r="AL9" s="109"/>
      <c r="AM9" s="109"/>
      <c r="AN9" s="109"/>
      <c r="AO9" s="109"/>
      <c r="AP9" s="109"/>
      <c r="AQ9" s="109"/>
      <c r="AR9" s="108"/>
      <c r="AS9" s="108"/>
      <c r="AT9" s="109"/>
      <c r="AU9" s="109"/>
      <c r="AV9" s="109"/>
      <c r="AW9" s="109"/>
      <c r="AX9" s="109"/>
      <c r="AY9" s="109"/>
      <c r="AZ9" s="109"/>
      <c r="BA9" s="109"/>
      <c r="BB9" s="108"/>
      <c r="BC9" s="108"/>
      <c r="BD9" s="108"/>
      <c r="BE9" s="114">
        <v>15862000</v>
      </c>
      <c r="BF9" s="107">
        <f>BD9+BE9</f>
        <v>15862000</v>
      </c>
    </row>
    <row r="10" spans="1:58" ht="27" customHeight="1" x14ac:dyDescent="0.25">
      <c r="A10" s="115" t="s">
        <v>84</v>
      </c>
      <c r="B10" s="116">
        <v>2036963.34</v>
      </c>
      <c r="C10" s="105">
        <v>0</v>
      </c>
      <c r="D10" s="106">
        <f>B10+C10</f>
        <v>2036963.34</v>
      </c>
      <c r="F10" s="108"/>
      <c r="G10" s="108"/>
      <c r="H10" s="108"/>
      <c r="I10" s="108"/>
      <c r="J10" s="117">
        <v>300000</v>
      </c>
      <c r="K10" s="108"/>
      <c r="L10" s="117">
        <v>400000</v>
      </c>
      <c r="M10" s="108"/>
      <c r="N10" s="108">
        <v>185664</v>
      </c>
      <c r="O10" s="108">
        <f>+M10+K10+G10+I10</f>
        <v>0</v>
      </c>
      <c r="P10" s="117">
        <v>400000</v>
      </c>
      <c r="Q10" s="117"/>
      <c r="R10" s="117">
        <v>400000</v>
      </c>
      <c r="S10" s="117"/>
      <c r="T10" s="117">
        <f>400000+251299</f>
        <v>651299</v>
      </c>
      <c r="U10" s="117"/>
      <c r="V10" s="117">
        <v>400000</v>
      </c>
      <c r="W10" s="117"/>
      <c r="X10" s="108">
        <f>+V10+T10+P10+R10</f>
        <v>1851299</v>
      </c>
      <c r="Y10" s="108">
        <f>+W10+U10+Q10+S10</f>
        <v>0</v>
      </c>
      <c r="Z10" s="117">
        <v>0</v>
      </c>
      <c r="AA10" s="117"/>
      <c r="AB10" s="117">
        <v>0</v>
      </c>
      <c r="AC10" s="117"/>
      <c r="AD10" s="117">
        <v>0</v>
      </c>
      <c r="AE10" s="117"/>
      <c r="AF10" s="117">
        <v>0</v>
      </c>
      <c r="AG10" s="117"/>
      <c r="AH10" s="108">
        <f>+AF10+AD10+Z10+AB10</f>
        <v>0</v>
      </c>
      <c r="AI10" s="108">
        <f>+AG10+AE10+AA10+AC10</f>
        <v>0</v>
      </c>
      <c r="AJ10" s="117"/>
      <c r="AK10" s="117"/>
      <c r="AL10" s="117"/>
      <c r="AM10" s="117"/>
      <c r="AN10" s="117"/>
      <c r="AO10" s="117"/>
      <c r="AP10" s="117"/>
      <c r="AQ10" s="117"/>
      <c r="AR10" s="108">
        <f>+AP10+AN10+AJ10+AL10</f>
        <v>0</v>
      </c>
      <c r="AS10" s="108">
        <f>+AQ10+AO10+AK10+AM10</f>
        <v>0</v>
      </c>
      <c r="AT10" s="117"/>
      <c r="AU10" s="117"/>
      <c r="AV10" s="117"/>
      <c r="AW10" s="117"/>
      <c r="AX10" s="117"/>
      <c r="AY10" s="117"/>
      <c r="AZ10" s="117"/>
      <c r="BA10" s="117"/>
      <c r="BB10" s="108">
        <f>+AZ10+AX10+AT10+AV10</f>
        <v>0</v>
      </c>
      <c r="BC10" s="108">
        <f>+BA10+AY10+AU10+AW10</f>
        <v>0</v>
      </c>
      <c r="BD10" s="108">
        <f t="shared" ref="BD10:BE14" si="5">+BB10+AR10+AH10+X10+N10</f>
        <v>2036963</v>
      </c>
      <c r="BE10" s="108">
        <f t="shared" si="5"/>
        <v>0</v>
      </c>
      <c r="BF10" s="107">
        <f>BD10+BE10</f>
        <v>2036963</v>
      </c>
    </row>
    <row r="11" spans="1:58" ht="30" customHeight="1" x14ac:dyDescent="0.25">
      <c r="A11" s="118" t="s">
        <v>85</v>
      </c>
      <c r="B11" s="119"/>
      <c r="C11" s="119"/>
      <c r="D11" s="120"/>
      <c r="F11" s="121"/>
      <c r="G11" s="108"/>
      <c r="H11" s="108"/>
      <c r="I11" s="108"/>
      <c r="J11" s="108"/>
      <c r="K11" s="108"/>
      <c r="L11" s="108"/>
      <c r="M11" s="108"/>
      <c r="N11" s="121"/>
      <c r="O11" s="108"/>
      <c r="P11" s="122"/>
      <c r="Q11" s="122"/>
      <c r="R11" s="122"/>
      <c r="S11" s="122"/>
      <c r="T11" s="122"/>
      <c r="U11" s="122"/>
      <c r="V11" s="122"/>
      <c r="W11" s="122"/>
      <c r="X11" s="108"/>
      <c r="Y11" s="108"/>
      <c r="Z11" s="122"/>
      <c r="AA11" s="122"/>
      <c r="AB11" s="122"/>
      <c r="AC11" s="122"/>
      <c r="AD11" s="122"/>
      <c r="AE11" s="122"/>
      <c r="AF11" s="122"/>
      <c r="AG11" s="122"/>
      <c r="AH11" s="121"/>
      <c r="AI11" s="121"/>
      <c r="AJ11" s="122"/>
      <c r="AK11" s="122"/>
      <c r="AL11" s="122"/>
      <c r="AM11" s="122"/>
      <c r="AN11" s="122"/>
      <c r="AO11" s="122"/>
      <c r="AP11" s="122"/>
      <c r="AQ11" s="122"/>
      <c r="AR11" s="121"/>
      <c r="AS11" s="121"/>
      <c r="AT11" s="122"/>
      <c r="AU11" s="122"/>
      <c r="AV11" s="122"/>
      <c r="AW11" s="122"/>
      <c r="AX11" s="122"/>
      <c r="AY11" s="122"/>
      <c r="AZ11" s="122"/>
      <c r="BA11" s="122"/>
      <c r="BB11" s="121"/>
      <c r="BC11" s="121"/>
      <c r="BD11" s="121">
        <f t="shared" si="5"/>
        <v>0</v>
      </c>
      <c r="BE11" s="108">
        <f t="shared" si="5"/>
        <v>0</v>
      </c>
      <c r="BF11" s="108">
        <f t="shared" ref="BF11:BF30" si="6">+BE11+BD11</f>
        <v>0</v>
      </c>
    </row>
    <row r="12" spans="1:58" ht="29.25" customHeight="1" x14ac:dyDescent="0.25">
      <c r="A12" s="118" t="s">
        <v>86</v>
      </c>
      <c r="B12" s="119"/>
      <c r="C12" s="119"/>
      <c r="D12" s="120"/>
      <c r="F12" s="121"/>
      <c r="G12" s="108"/>
      <c r="H12" s="108"/>
      <c r="I12" s="108"/>
      <c r="J12" s="108"/>
      <c r="K12" s="108"/>
      <c r="L12" s="108"/>
      <c r="M12" s="108"/>
      <c r="N12" s="121"/>
      <c r="O12" s="108"/>
      <c r="P12" s="122"/>
      <c r="Q12" s="122"/>
      <c r="R12" s="122"/>
      <c r="S12" s="122"/>
      <c r="T12" s="122"/>
      <c r="U12" s="122"/>
      <c r="V12" s="122"/>
      <c r="W12" s="122"/>
      <c r="X12" s="108"/>
      <c r="Y12" s="108"/>
      <c r="Z12" s="122"/>
      <c r="AA12" s="122"/>
      <c r="AB12" s="122"/>
      <c r="AC12" s="122"/>
      <c r="AD12" s="122"/>
      <c r="AE12" s="122"/>
      <c r="AF12" s="122"/>
      <c r="AG12" s="122"/>
      <c r="AH12" s="121"/>
      <c r="AI12" s="121"/>
      <c r="AJ12" s="122"/>
      <c r="AK12" s="122"/>
      <c r="AL12" s="122"/>
      <c r="AM12" s="122"/>
      <c r="AN12" s="122"/>
      <c r="AO12" s="122"/>
      <c r="AP12" s="122"/>
      <c r="AQ12" s="122"/>
      <c r="AR12" s="121"/>
      <c r="AS12" s="121"/>
      <c r="AT12" s="122"/>
      <c r="AU12" s="122"/>
      <c r="AV12" s="122"/>
      <c r="AW12" s="122"/>
      <c r="AX12" s="122"/>
      <c r="AY12" s="122"/>
      <c r="AZ12" s="122"/>
      <c r="BA12" s="122"/>
      <c r="BB12" s="121"/>
      <c r="BC12" s="121"/>
      <c r="BD12" s="121">
        <f t="shared" si="5"/>
        <v>0</v>
      </c>
      <c r="BE12" s="108">
        <f t="shared" si="5"/>
        <v>0</v>
      </c>
      <c r="BF12" s="108">
        <f t="shared" si="6"/>
        <v>0</v>
      </c>
    </row>
    <row r="13" spans="1:58" ht="25.5" customHeight="1" x14ac:dyDescent="0.25">
      <c r="A13" s="123" t="s">
        <v>87</v>
      </c>
      <c r="B13" s="105">
        <v>0</v>
      </c>
      <c r="C13" s="105">
        <v>15755122</v>
      </c>
      <c r="D13" s="106">
        <f t="shared" ref="D13" si="7">B13+C13</f>
        <v>15755122</v>
      </c>
      <c r="F13" s="124"/>
      <c r="G13" s="107">
        <f>C13</f>
        <v>15755122</v>
      </c>
      <c r="H13" s="124"/>
      <c r="I13" s="124"/>
      <c r="J13" s="124"/>
      <c r="K13" s="124"/>
      <c r="L13" s="124"/>
      <c r="M13" s="124"/>
      <c r="N13" s="121"/>
      <c r="O13" s="108">
        <f>+M13+K13+I13+G13</f>
        <v>15755122</v>
      </c>
      <c r="P13" s="122"/>
      <c r="Q13" s="122"/>
      <c r="R13" s="122"/>
      <c r="S13" s="122"/>
      <c r="T13" s="122"/>
      <c r="U13" s="122"/>
      <c r="V13" s="122"/>
      <c r="W13" s="122"/>
      <c r="X13" s="121">
        <f t="shared" ref="X13:Y13" si="8">+P13+R13+T13+V13</f>
        <v>0</v>
      </c>
      <c r="Y13" s="121">
        <f t="shared" si="8"/>
        <v>0</v>
      </c>
      <c r="Z13" s="122"/>
      <c r="AA13" s="122"/>
      <c r="AB13" s="122"/>
      <c r="AC13" s="122"/>
      <c r="AD13" s="122"/>
      <c r="AE13" s="122"/>
      <c r="AF13" s="122"/>
      <c r="AG13" s="122"/>
      <c r="AH13" s="121"/>
      <c r="AI13" s="121"/>
      <c r="AJ13" s="122"/>
      <c r="AK13" s="122"/>
      <c r="AL13" s="122"/>
      <c r="AM13" s="122"/>
      <c r="AN13" s="122"/>
      <c r="AO13" s="122"/>
      <c r="AP13" s="122"/>
      <c r="AQ13" s="122"/>
      <c r="AR13" s="121"/>
      <c r="AS13" s="121"/>
      <c r="AT13" s="122"/>
      <c r="AU13" s="122"/>
      <c r="AV13" s="122"/>
      <c r="AW13" s="122"/>
      <c r="AX13" s="122"/>
      <c r="AY13" s="122"/>
      <c r="AZ13" s="122"/>
      <c r="BA13" s="122"/>
      <c r="BB13" s="121"/>
      <c r="BC13" s="121"/>
      <c r="BD13" s="121">
        <f t="shared" si="5"/>
        <v>0</v>
      </c>
      <c r="BE13" s="108">
        <f t="shared" si="5"/>
        <v>15755122</v>
      </c>
      <c r="BF13" s="108">
        <f t="shared" si="6"/>
        <v>15755122</v>
      </c>
    </row>
    <row r="14" spans="1:58" ht="27" customHeight="1" x14ac:dyDescent="0.25">
      <c r="A14" s="125" t="s">
        <v>88</v>
      </c>
      <c r="B14" s="119">
        <v>0</v>
      </c>
      <c r="C14" s="119"/>
      <c r="D14" s="120">
        <f>B14+C14</f>
        <v>0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Q14" s="109"/>
      <c r="R14" s="109"/>
      <c r="S14" s="109"/>
      <c r="T14" s="109"/>
      <c r="U14" s="109"/>
      <c r="V14" s="109"/>
      <c r="W14" s="109"/>
      <c r="X14" s="108"/>
      <c r="Y14" s="108"/>
      <c r="Z14" s="109"/>
      <c r="AA14" s="109"/>
      <c r="AB14" s="109"/>
      <c r="AC14" s="109"/>
      <c r="AD14" s="109"/>
      <c r="AE14" s="109"/>
      <c r="AF14" s="109"/>
      <c r="AG14" s="109"/>
      <c r="AH14" s="108"/>
      <c r="AI14" s="108"/>
      <c r="AJ14" s="109"/>
      <c r="AK14" s="109"/>
      <c r="AL14" s="109"/>
      <c r="AM14" s="109"/>
      <c r="AN14" s="109"/>
      <c r="AO14" s="109"/>
      <c r="AP14" s="109"/>
      <c r="AQ14" s="109"/>
      <c r="AR14" s="108"/>
      <c r="AS14" s="108"/>
      <c r="AT14" s="109"/>
      <c r="AU14" s="109"/>
      <c r="AV14" s="109"/>
      <c r="AW14" s="109"/>
      <c r="AX14" s="109"/>
      <c r="AY14" s="109"/>
      <c r="AZ14" s="109"/>
      <c r="BA14" s="109"/>
      <c r="BB14" s="108"/>
      <c r="BC14" s="108"/>
      <c r="BD14" s="108">
        <f t="shared" si="5"/>
        <v>0</v>
      </c>
      <c r="BE14" s="108">
        <f t="shared" si="5"/>
        <v>0</v>
      </c>
      <c r="BF14" s="108">
        <f t="shared" si="6"/>
        <v>0</v>
      </c>
    </row>
    <row r="15" spans="1:58" ht="30" customHeight="1" x14ac:dyDescent="0.25">
      <c r="A15" s="126" t="s">
        <v>89</v>
      </c>
      <c r="B15" s="127">
        <v>0</v>
      </c>
      <c r="C15" s="127">
        <v>11094092.415999999</v>
      </c>
      <c r="D15" s="113">
        <f t="shared" ref="D15:D20" si="9">B15+C15</f>
        <v>11094092.415999999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27">
        <f>C15</f>
        <v>11094092.415999999</v>
      </c>
      <c r="P15" s="109"/>
      <c r="Q15" s="109"/>
      <c r="R15" s="109"/>
      <c r="S15" s="109"/>
      <c r="T15" s="109"/>
      <c r="U15" s="109"/>
      <c r="V15" s="109"/>
      <c r="W15" s="109"/>
      <c r="X15" s="108"/>
      <c r="Y15" s="108"/>
      <c r="Z15" s="109"/>
      <c r="AA15" s="109"/>
      <c r="AB15" s="109"/>
      <c r="AC15" s="109"/>
      <c r="AD15" s="109"/>
      <c r="AE15" s="109"/>
      <c r="AF15" s="109"/>
      <c r="AG15" s="109"/>
      <c r="AH15" s="108"/>
      <c r="AI15" s="108"/>
      <c r="AJ15" s="109"/>
      <c r="AK15" s="109"/>
      <c r="AL15" s="109"/>
      <c r="AM15" s="109"/>
      <c r="AN15" s="109"/>
      <c r="AO15" s="109"/>
      <c r="AP15" s="109"/>
      <c r="AQ15" s="109"/>
      <c r="AR15" s="108"/>
      <c r="AS15" s="108"/>
      <c r="AT15" s="109"/>
      <c r="AU15" s="109"/>
      <c r="AV15" s="109"/>
      <c r="AW15" s="109"/>
      <c r="AX15" s="109"/>
      <c r="AY15" s="109"/>
      <c r="AZ15" s="109"/>
      <c r="BA15" s="109"/>
      <c r="BB15" s="108"/>
      <c r="BC15" s="108"/>
      <c r="BD15" s="108"/>
      <c r="BE15" s="127">
        <f t="shared" ref="BE15:BE20" si="10">O15</f>
        <v>11094092.415999999</v>
      </c>
      <c r="BF15" s="108">
        <f t="shared" si="6"/>
        <v>11094092.415999999</v>
      </c>
    </row>
    <row r="16" spans="1:58" ht="24" customHeight="1" x14ac:dyDescent="0.25">
      <c r="A16" s="126" t="s">
        <v>90</v>
      </c>
      <c r="B16" s="127">
        <v>0</v>
      </c>
      <c r="C16" s="127">
        <v>3900000</v>
      </c>
      <c r="D16" s="113">
        <f t="shared" si="9"/>
        <v>3900000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27">
        <f t="shared" ref="O16:O20" si="11">C16</f>
        <v>3900000</v>
      </c>
      <c r="P16" s="109"/>
      <c r="Q16" s="109"/>
      <c r="R16" s="109"/>
      <c r="S16" s="109"/>
      <c r="T16" s="109"/>
      <c r="U16" s="109"/>
      <c r="V16" s="109"/>
      <c r="W16" s="109"/>
      <c r="X16" s="108"/>
      <c r="Y16" s="108"/>
      <c r="Z16" s="109"/>
      <c r="AA16" s="109"/>
      <c r="AB16" s="109"/>
      <c r="AC16" s="109"/>
      <c r="AD16" s="109"/>
      <c r="AE16" s="109"/>
      <c r="AF16" s="109"/>
      <c r="AG16" s="109"/>
      <c r="AH16" s="108"/>
      <c r="AI16" s="108"/>
      <c r="AJ16" s="109"/>
      <c r="AK16" s="109"/>
      <c r="AL16" s="109"/>
      <c r="AM16" s="109"/>
      <c r="AN16" s="109"/>
      <c r="AO16" s="109"/>
      <c r="AP16" s="109"/>
      <c r="AQ16" s="109"/>
      <c r="AR16" s="108"/>
      <c r="AS16" s="108"/>
      <c r="AT16" s="109"/>
      <c r="AU16" s="109"/>
      <c r="AV16" s="109"/>
      <c r="AW16" s="109"/>
      <c r="AX16" s="109"/>
      <c r="AY16" s="109"/>
      <c r="AZ16" s="109"/>
      <c r="BA16" s="109"/>
      <c r="BB16" s="108"/>
      <c r="BC16" s="108"/>
      <c r="BD16" s="108"/>
      <c r="BE16" s="127">
        <f t="shared" si="10"/>
        <v>3900000</v>
      </c>
      <c r="BF16" s="108">
        <f t="shared" si="6"/>
        <v>3900000</v>
      </c>
    </row>
    <row r="17" spans="1:58" ht="24" customHeight="1" x14ac:dyDescent="0.25">
      <c r="A17" s="126" t="s">
        <v>91</v>
      </c>
      <c r="B17" s="127"/>
      <c r="C17" s="127">
        <v>634383.39</v>
      </c>
      <c r="D17" s="113">
        <f>B17+C17</f>
        <v>634383.39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27">
        <f t="shared" si="11"/>
        <v>634383.39</v>
      </c>
      <c r="P17" s="109"/>
      <c r="Q17" s="109"/>
      <c r="R17" s="109"/>
      <c r="S17" s="109"/>
      <c r="T17" s="109"/>
      <c r="U17" s="109"/>
      <c r="V17" s="109"/>
      <c r="W17" s="109"/>
      <c r="X17" s="108"/>
      <c r="Y17" s="108"/>
      <c r="Z17" s="109"/>
      <c r="AA17" s="109"/>
      <c r="AB17" s="109"/>
      <c r="AC17" s="109"/>
      <c r="AD17" s="109"/>
      <c r="AE17" s="109"/>
      <c r="AF17" s="109"/>
      <c r="AG17" s="109"/>
      <c r="AH17" s="108"/>
      <c r="AI17" s="108"/>
      <c r="AJ17" s="109"/>
      <c r="AK17" s="109"/>
      <c r="AL17" s="109"/>
      <c r="AM17" s="109"/>
      <c r="AN17" s="109"/>
      <c r="AO17" s="109"/>
      <c r="AP17" s="109"/>
      <c r="AQ17" s="109"/>
      <c r="AR17" s="108"/>
      <c r="AS17" s="108"/>
      <c r="AT17" s="109"/>
      <c r="AU17" s="109"/>
      <c r="AV17" s="109"/>
      <c r="AW17" s="109"/>
      <c r="AX17" s="109"/>
      <c r="AY17" s="109"/>
      <c r="AZ17" s="109"/>
      <c r="BA17" s="109"/>
      <c r="BB17" s="108"/>
      <c r="BC17" s="108"/>
      <c r="BD17" s="108"/>
      <c r="BE17" s="127">
        <f t="shared" si="10"/>
        <v>634383.39</v>
      </c>
      <c r="BF17" s="108">
        <f>BE17</f>
        <v>634383.39</v>
      </c>
    </row>
    <row r="18" spans="1:58" ht="27" customHeight="1" x14ac:dyDescent="0.25">
      <c r="A18" s="126" t="s">
        <v>92</v>
      </c>
      <c r="B18" s="127">
        <v>0</v>
      </c>
      <c r="C18" s="127">
        <v>13381453.880000001</v>
      </c>
      <c r="D18" s="113">
        <f t="shared" si="9"/>
        <v>13381453.880000001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27">
        <f t="shared" si="11"/>
        <v>13381453.880000001</v>
      </c>
      <c r="P18" s="109"/>
      <c r="Q18" s="109"/>
      <c r="R18" s="109"/>
      <c r="S18" s="109"/>
      <c r="T18" s="109"/>
      <c r="U18" s="109"/>
      <c r="V18" s="109"/>
      <c r="W18" s="109"/>
      <c r="X18" s="108"/>
      <c r="Y18" s="108"/>
      <c r="Z18" s="109"/>
      <c r="AA18" s="109"/>
      <c r="AB18" s="109"/>
      <c r="AC18" s="109"/>
      <c r="AD18" s="109"/>
      <c r="AE18" s="109"/>
      <c r="AF18" s="109"/>
      <c r="AG18" s="109"/>
      <c r="AH18" s="108"/>
      <c r="AI18" s="108"/>
      <c r="AJ18" s="109"/>
      <c r="AK18" s="109"/>
      <c r="AL18" s="109"/>
      <c r="AM18" s="109"/>
      <c r="AN18" s="109"/>
      <c r="AO18" s="109"/>
      <c r="AP18" s="109"/>
      <c r="AQ18" s="109"/>
      <c r="AR18" s="108"/>
      <c r="AS18" s="108"/>
      <c r="AT18" s="109"/>
      <c r="AU18" s="109"/>
      <c r="AV18" s="109"/>
      <c r="AW18" s="109"/>
      <c r="AX18" s="109"/>
      <c r="AY18" s="109"/>
      <c r="AZ18" s="109"/>
      <c r="BA18" s="109"/>
      <c r="BB18" s="108"/>
      <c r="BC18" s="108"/>
      <c r="BD18" s="108"/>
      <c r="BE18" s="127">
        <f t="shared" si="10"/>
        <v>13381453.880000001</v>
      </c>
      <c r="BF18" s="108">
        <f t="shared" si="6"/>
        <v>13381453.880000001</v>
      </c>
    </row>
    <row r="19" spans="1:58" ht="27" customHeight="1" x14ac:dyDescent="0.25">
      <c r="A19" s="126" t="s">
        <v>93</v>
      </c>
      <c r="B19" s="127"/>
      <c r="C19" s="127">
        <v>8992956.9900000002</v>
      </c>
      <c r="D19" s="113">
        <f>B19+C19</f>
        <v>8992956.9900000002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27">
        <f t="shared" si="11"/>
        <v>8992956.9900000002</v>
      </c>
      <c r="P19" s="109"/>
      <c r="Q19" s="109"/>
      <c r="R19" s="109"/>
      <c r="S19" s="109"/>
      <c r="T19" s="109"/>
      <c r="U19" s="109"/>
      <c r="V19" s="109"/>
      <c r="W19" s="109"/>
      <c r="X19" s="108"/>
      <c r="Y19" s="108"/>
      <c r="Z19" s="109"/>
      <c r="AA19" s="109"/>
      <c r="AB19" s="109"/>
      <c r="AC19" s="109"/>
      <c r="AD19" s="109"/>
      <c r="AE19" s="109"/>
      <c r="AF19" s="109"/>
      <c r="AG19" s="109"/>
      <c r="AH19" s="108"/>
      <c r="AI19" s="108"/>
      <c r="AJ19" s="109"/>
      <c r="AK19" s="109"/>
      <c r="AL19" s="109"/>
      <c r="AM19" s="109"/>
      <c r="AN19" s="109"/>
      <c r="AO19" s="109"/>
      <c r="AP19" s="109"/>
      <c r="AQ19" s="109"/>
      <c r="AR19" s="108"/>
      <c r="AS19" s="108"/>
      <c r="AT19" s="109"/>
      <c r="AU19" s="109"/>
      <c r="AV19" s="109"/>
      <c r="AW19" s="109"/>
      <c r="AX19" s="109"/>
      <c r="AY19" s="109"/>
      <c r="AZ19" s="109"/>
      <c r="BA19" s="109"/>
      <c r="BB19" s="108"/>
      <c r="BC19" s="108"/>
      <c r="BD19" s="108"/>
      <c r="BE19" s="127">
        <f t="shared" si="10"/>
        <v>8992956.9900000002</v>
      </c>
      <c r="BF19" s="108">
        <f>BE19</f>
        <v>8992956.9900000002</v>
      </c>
    </row>
    <row r="20" spans="1:58" ht="33" customHeight="1" x14ac:dyDescent="0.25">
      <c r="A20" s="126" t="s">
        <v>94</v>
      </c>
      <c r="B20" s="127">
        <v>0</v>
      </c>
      <c r="C20" s="127">
        <v>1133180.29</v>
      </c>
      <c r="D20" s="113">
        <f t="shared" si="9"/>
        <v>1133180.29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27">
        <f t="shared" si="11"/>
        <v>1133180.29</v>
      </c>
      <c r="P20" s="109"/>
      <c r="Q20" s="109"/>
      <c r="R20" s="109"/>
      <c r="S20" s="109"/>
      <c r="T20" s="109"/>
      <c r="U20" s="109"/>
      <c r="V20" s="109"/>
      <c r="W20" s="109"/>
      <c r="X20" s="108"/>
      <c r="Y20" s="108"/>
      <c r="Z20" s="109"/>
      <c r="AA20" s="109"/>
      <c r="AB20" s="109"/>
      <c r="AC20" s="109"/>
      <c r="AD20" s="109"/>
      <c r="AE20" s="109"/>
      <c r="AF20" s="109"/>
      <c r="AG20" s="109"/>
      <c r="AH20" s="108"/>
      <c r="AI20" s="108"/>
      <c r="AJ20" s="109"/>
      <c r="AK20" s="109"/>
      <c r="AL20" s="109"/>
      <c r="AM20" s="109"/>
      <c r="AN20" s="109"/>
      <c r="AO20" s="109"/>
      <c r="AP20" s="109"/>
      <c r="AQ20" s="109"/>
      <c r="AR20" s="108"/>
      <c r="AS20" s="108"/>
      <c r="AT20" s="109"/>
      <c r="AU20" s="109"/>
      <c r="AV20" s="109"/>
      <c r="AW20" s="109"/>
      <c r="AX20" s="109"/>
      <c r="AY20" s="109"/>
      <c r="AZ20" s="109"/>
      <c r="BA20" s="109"/>
      <c r="BB20" s="108"/>
      <c r="BC20" s="108"/>
      <c r="BD20" s="108"/>
      <c r="BE20" s="127">
        <f t="shared" si="10"/>
        <v>1133180.29</v>
      </c>
      <c r="BF20" s="108">
        <f t="shared" si="6"/>
        <v>1133180.29</v>
      </c>
    </row>
    <row r="21" spans="1:58" ht="28.5" customHeight="1" x14ac:dyDescent="0.25">
      <c r="A21" s="115" t="s">
        <v>95</v>
      </c>
      <c r="B21" s="105">
        <v>784960</v>
      </c>
      <c r="C21" s="105">
        <v>0</v>
      </c>
      <c r="D21" s="106">
        <f t="shared" si="2"/>
        <v>784960</v>
      </c>
      <c r="F21" s="107"/>
      <c r="G21" s="107"/>
      <c r="H21" s="107"/>
      <c r="I21" s="107"/>
      <c r="J21" s="107"/>
      <c r="K21" s="107"/>
      <c r="L21" s="107"/>
      <c r="M21" s="107"/>
      <c r="N21" s="107">
        <f t="shared" ref="N21:O30" si="12">+L21+J21+H21+F21</f>
        <v>0</v>
      </c>
      <c r="O21" s="107">
        <f t="shared" si="12"/>
        <v>0</v>
      </c>
      <c r="P21" s="107">
        <v>0</v>
      </c>
      <c r="Q21" s="107"/>
      <c r="R21" s="107">
        <v>0</v>
      </c>
      <c r="S21" s="107"/>
      <c r="T21" s="107">
        <f>148790.4*2.23</f>
        <v>331802.592</v>
      </c>
      <c r="U21" s="107"/>
      <c r="V21" s="107">
        <f>203209.6*2.23</f>
        <v>453157.408</v>
      </c>
      <c r="W21" s="128"/>
      <c r="X21" s="107">
        <f t="shared" ref="X21:Y30" si="13">+P21+R21+T21+V21</f>
        <v>784960</v>
      </c>
      <c r="Y21" s="107">
        <f t="shared" si="13"/>
        <v>0</v>
      </c>
      <c r="Z21" s="107"/>
      <c r="AA21" s="107"/>
      <c r="AB21" s="107"/>
      <c r="AC21" s="107"/>
      <c r="AD21" s="107"/>
      <c r="AE21" s="107"/>
      <c r="AF21" s="107"/>
      <c r="AG21" s="128"/>
      <c r="AH21" s="107">
        <f t="shared" ref="AH21:AI30" si="14">+Z21+AB21+AD21+AF21</f>
        <v>0</v>
      </c>
      <c r="AI21" s="107">
        <f t="shared" si="14"/>
        <v>0</v>
      </c>
      <c r="AJ21" s="107"/>
      <c r="AK21" s="107"/>
      <c r="AL21" s="107"/>
      <c r="AM21" s="107"/>
      <c r="AN21" s="107"/>
      <c r="AO21" s="107"/>
      <c r="AP21" s="107"/>
      <c r="AQ21" s="128"/>
      <c r="AR21" s="107">
        <f t="shared" ref="AR21:AS30" si="15">+AJ21+AL21+AN21+AP21</f>
        <v>0</v>
      </c>
      <c r="AS21" s="107">
        <f t="shared" si="15"/>
        <v>0</v>
      </c>
      <c r="AT21" s="107"/>
      <c r="AU21" s="107"/>
      <c r="AV21" s="107"/>
      <c r="AW21" s="107"/>
      <c r="AX21" s="107"/>
      <c r="AY21" s="107"/>
      <c r="AZ21" s="107"/>
      <c r="BA21" s="128"/>
      <c r="BB21" s="107">
        <f t="shared" ref="BB21:BC30" si="16">+AZ21+AX21+AV21+AT21</f>
        <v>0</v>
      </c>
      <c r="BC21" s="107">
        <f t="shared" si="16"/>
        <v>0</v>
      </c>
      <c r="BD21" s="107">
        <f t="shared" ref="BD21:BE32" si="17">+BB21+AR21+AH21+X21+N21</f>
        <v>784960</v>
      </c>
      <c r="BE21" s="107">
        <f t="shared" si="17"/>
        <v>0</v>
      </c>
      <c r="BF21" s="107">
        <f t="shared" si="6"/>
        <v>784960</v>
      </c>
    </row>
    <row r="22" spans="1:58" ht="22.5" customHeight="1" x14ac:dyDescent="0.25">
      <c r="A22" s="115" t="s">
        <v>96</v>
      </c>
      <c r="B22" s="105">
        <v>712889.71</v>
      </c>
      <c r="C22" s="105">
        <v>0</v>
      </c>
      <c r="D22" s="106">
        <f t="shared" si="2"/>
        <v>712889.71</v>
      </c>
      <c r="F22" s="107"/>
      <c r="G22" s="107"/>
      <c r="H22" s="107"/>
      <c r="I22" s="107"/>
      <c r="J22" s="107"/>
      <c r="K22" s="107"/>
      <c r="L22" s="107"/>
      <c r="M22" s="107"/>
      <c r="N22" s="107">
        <f t="shared" si="12"/>
        <v>0</v>
      </c>
      <c r="O22" s="107">
        <f t="shared" si="12"/>
        <v>0</v>
      </c>
      <c r="P22" s="107">
        <v>0</v>
      </c>
      <c r="Q22" s="107"/>
      <c r="R22" s="107">
        <v>0</v>
      </c>
      <c r="S22" s="107"/>
      <c r="T22" s="107">
        <v>671399.8</v>
      </c>
      <c r="U22" s="107"/>
      <c r="V22" s="107">
        <v>41490.199999999997</v>
      </c>
      <c r="W22" s="128"/>
      <c r="X22" s="107">
        <f t="shared" si="13"/>
        <v>712890</v>
      </c>
      <c r="Y22" s="107">
        <f t="shared" si="13"/>
        <v>0</v>
      </c>
      <c r="Z22" s="107"/>
      <c r="AA22" s="107"/>
      <c r="AB22" s="107"/>
      <c r="AC22" s="107"/>
      <c r="AD22" s="107"/>
      <c r="AE22" s="107"/>
      <c r="AF22" s="107"/>
      <c r="AG22" s="128"/>
      <c r="AH22" s="107">
        <f t="shared" si="14"/>
        <v>0</v>
      </c>
      <c r="AI22" s="107">
        <f t="shared" si="14"/>
        <v>0</v>
      </c>
      <c r="AJ22" s="107"/>
      <c r="AK22" s="107"/>
      <c r="AL22" s="107"/>
      <c r="AM22" s="107"/>
      <c r="AN22" s="107"/>
      <c r="AO22" s="107"/>
      <c r="AP22" s="107"/>
      <c r="AQ22" s="128"/>
      <c r="AR22" s="107">
        <f t="shared" si="15"/>
        <v>0</v>
      </c>
      <c r="AS22" s="107">
        <f t="shared" si="15"/>
        <v>0</v>
      </c>
      <c r="AT22" s="107"/>
      <c r="AU22" s="107"/>
      <c r="AV22" s="107"/>
      <c r="AW22" s="107"/>
      <c r="AX22" s="107"/>
      <c r="AY22" s="107"/>
      <c r="AZ22" s="107"/>
      <c r="BA22" s="128"/>
      <c r="BB22" s="107">
        <f t="shared" si="16"/>
        <v>0</v>
      </c>
      <c r="BC22" s="107">
        <f t="shared" si="16"/>
        <v>0</v>
      </c>
      <c r="BD22" s="107">
        <f t="shared" si="17"/>
        <v>712890</v>
      </c>
      <c r="BE22" s="107">
        <f t="shared" si="17"/>
        <v>0</v>
      </c>
      <c r="BF22" s="107">
        <f t="shared" si="6"/>
        <v>712890</v>
      </c>
    </row>
    <row r="23" spans="1:58" x14ac:dyDescent="0.25">
      <c r="A23" s="115" t="s">
        <v>97</v>
      </c>
      <c r="B23" s="105">
        <v>944448.5</v>
      </c>
      <c r="C23" s="105">
        <v>0</v>
      </c>
      <c r="D23" s="106">
        <f t="shared" si="2"/>
        <v>944448.5</v>
      </c>
      <c r="F23" s="107"/>
      <c r="G23" s="107"/>
      <c r="H23" s="107"/>
      <c r="I23" s="107"/>
      <c r="J23" s="107"/>
      <c r="K23" s="107"/>
      <c r="L23" s="107"/>
      <c r="M23" s="107"/>
      <c r="N23" s="107">
        <f t="shared" si="12"/>
        <v>0</v>
      </c>
      <c r="O23" s="107">
        <f t="shared" si="12"/>
        <v>0</v>
      </c>
      <c r="P23" s="107">
        <v>0</v>
      </c>
      <c r="Q23" s="129"/>
      <c r="R23" s="107">
        <v>0</v>
      </c>
      <c r="S23" s="129"/>
      <c r="T23" s="107">
        <f>856407.35-17159</f>
        <v>839248.35</v>
      </c>
      <c r="U23" s="129"/>
      <c r="V23" s="107">
        <v>105200.83</v>
      </c>
      <c r="W23" s="129"/>
      <c r="X23" s="107">
        <f t="shared" si="13"/>
        <v>944449.17999999993</v>
      </c>
      <c r="Y23" s="107">
        <f t="shared" si="13"/>
        <v>0</v>
      </c>
      <c r="Z23" s="129"/>
      <c r="AA23" s="129"/>
      <c r="AB23" s="129"/>
      <c r="AC23" s="129"/>
      <c r="AD23" s="129"/>
      <c r="AE23" s="129"/>
      <c r="AF23" s="129"/>
      <c r="AG23" s="129"/>
      <c r="AH23" s="107">
        <f t="shared" si="14"/>
        <v>0</v>
      </c>
      <c r="AI23" s="107">
        <f t="shared" si="14"/>
        <v>0</v>
      </c>
      <c r="AJ23" s="129"/>
      <c r="AK23" s="129"/>
      <c r="AL23" s="129"/>
      <c r="AM23" s="129"/>
      <c r="AN23" s="129"/>
      <c r="AO23" s="129"/>
      <c r="AP23" s="129"/>
      <c r="AQ23" s="129"/>
      <c r="AR23" s="107">
        <f t="shared" si="15"/>
        <v>0</v>
      </c>
      <c r="AS23" s="107">
        <f t="shared" si="15"/>
        <v>0</v>
      </c>
      <c r="AT23" s="129"/>
      <c r="AU23" s="129"/>
      <c r="AV23" s="129"/>
      <c r="AW23" s="129"/>
      <c r="AX23" s="129"/>
      <c r="AY23" s="129"/>
      <c r="AZ23" s="129"/>
      <c r="BA23" s="129"/>
      <c r="BB23" s="107">
        <f t="shared" si="16"/>
        <v>0</v>
      </c>
      <c r="BC23" s="107">
        <f t="shared" si="16"/>
        <v>0</v>
      </c>
      <c r="BD23" s="107">
        <f t="shared" si="17"/>
        <v>944449.17999999993</v>
      </c>
      <c r="BE23" s="107">
        <f t="shared" si="17"/>
        <v>0</v>
      </c>
      <c r="BF23" s="107">
        <f t="shared" si="6"/>
        <v>944449.17999999993</v>
      </c>
    </row>
    <row r="24" spans="1:58" x14ac:dyDescent="0.25">
      <c r="A24" s="115" t="s">
        <v>98</v>
      </c>
      <c r="B24" s="105">
        <v>555073.76</v>
      </c>
      <c r="C24" s="105">
        <v>0</v>
      </c>
      <c r="D24" s="106">
        <f t="shared" si="2"/>
        <v>555073.76</v>
      </c>
      <c r="F24" s="107"/>
      <c r="G24" s="107"/>
      <c r="H24" s="107"/>
      <c r="I24" s="107"/>
      <c r="J24" s="107"/>
      <c r="K24" s="107"/>
      <c r="L24" s="107"/>
      <c r="M24" s="107"/>
      <c r="N24" s="107">
        <f t="shared" si="12"/>
        <v>0</v>
      </c>
      <c r="O24" s="107">
        <f t="shared" si="12"/>
        <v>0</v>
      </c>
      <c r="P24" s="107">
        <v>0</v>
      </c>
      <c r="Q24" s="129"/>
      <c r="R24" s="107">
        <v>0</v>
      </c>
      <c r="S24" s="129"/>
      <c r="T24" s="107">
        <v>473645</v>
      </c>
      <c r="U24" s="129"/>
      <c r="V24" s="107">
        <v>81429</v>
      </c>
      <c r="W24" s="129"/>
      <c r="X24" s="107">
        <f t="shared" si="13"/>
        <v>555074</v>
      </c>
      <c r="Y24" s="107">
        <f t="shared" si="13"/>
        <v>0</v>
      </c>
      <c r="Z24" s="129"/>
      <c r="AA24" s="129"/>
      <c r="AB24" s="129"/>
      <c r="AC24" s="129"/>
      <c r="AD24" s="129"/>
      <c r="AE24" s="129"/>
      <c r="AF24" s="129"/>
      <c r="AG24" s="129"/>
      <c r="AH24" s="107">
        <f t="shared" si="14"/>
        <v>0</v>
      </c>
      <c r="AI24" s="107">
        <f t="shared" si="14"/>
        <v>0</v>
      </c>
      <c r="AJ24" s="129"/>
      <c r="AK24" s="129"/>
      <c r="AL24" s="129"/>
      <c r="AM24" s="129"/>
      <c r="AN24" s="129"/>
      <c r="AO24" s="129"/>
      <c r="AP24" s="129"/>
      <c r="AQ24" s="129"/>
      <c r="AR24" s="107">
        <f t="shared" si="15"/>
        <v>0</v>
      </c>
      <c r="AS24" s="107">
        <f t="shared" si="15"/>
        <v>0</v>
      </c>
      <c r="AT24" s="129"/>
      <c r="AU24" s="129"/>
      <c r="AV24" s="129"/>
      <c r="AW24" s="129"/>
      <c r="AX24" s="129"/>
      <c r="AY24" s="129"/>
      <c r="AZ24" s="129"/>
      <c r="BA24" s="129"/>
      <c r="BB24" s="107">
        <f t="shared" si="16"/>
        <v>0</v>
      </c>
      <c r="BC24" s="107">
        <f t="shared" si="16"/>
        <v>0</v>
      </c>
      <c r="BD24" s="107">
        <f t="shared" si="17"/>
        <v>555074</v>
      </c>
      <c r="BE24" s="107">
        <f t="shared" si="17"/>
        <v>0</v>
      </c>
      <c r="BF24" s="107">
        <f t="shared" si="6"/>
        <v>555074</v>
      </c>
    </row>
    <row r="25" spans="1:58" x14ac:dyDescent="0.25">
      <c r="A25" s="115" t="s">
        <v>99</v>
      </c>
      <c r="B25" s="105">
        <v>678709.42</v>
      </c>
      <c r="C25" s="105">
        <v>0</v>
      </c>
      <c r="D25" s="106">
        <f t="shared" si="2"/>
        <v>678709.42</v>
      </c>
      <c r="F25" s="107"/>
      <c r="G25" s="107"/>
      <c r="H25" s="107"/>
      <c r="I25" s="107"/>
      <c r="J25" s="107"/>
      <c r="K25" s="107"/>
      <c r="L25" s="107"/>
      <c r="M25" s="107"/>
      <c r="N25" s="107">
        <f t="shared" si="12"/>
        <v>0</v>
      </c>
      <c r="O25" s="107">
        <f t="shared" si="12"/>
        <v>0</v>
      </c>
      <c r="P25" s="107">
        <v>0</v>
      </c>
      <c r="Q25" s="107"/>
      <c r="R25" s="107">
        <v>0</v>
      </c>
      <c r="S25" s="129"/>
      <c r="T25" s="107">
        <f>128650.44*2.23</f>
        <v>286890.48119999998</v>
      </c>
      <c r="U25" s="129"/>
      <c r="V25" s="107">
        <f>175703.56*2.23</f>
        <v>391818.9388</v>
      </c>
      <c r="W25" s="129"/>
      <c r="X25" s="107">
        <f t="shared" si="13"/>
        <v>678709.41999999993</v>
      </c>
      <c r="Y25" s="107">
        <f t="shared" si="13"/>
        <v>0</v>
      </c>
      <c r="Z25" s="129"/>
      <c r="AA25" s="129"/>
      <c r="AB25" s="129"/>
      <c r="AC25" s="129"/>
      <c r="AD25" s="129"/>
      <c r="AE25" s="129"/>
      <c r="AF25" s="129"/>
      <c r="AG25" s="129"/>
      <c r="AH25" s="107">
        <f t="shared" si="14"/>
        <v>0</v>
      </c>
      <c r="AI25" s="107">
        <f t="shared" si="14"/>
        <v>0</v>
      </c>
      <c r="AJ25" s="129"/>
      <c r="AK25" s="129"/>
      <c r="AL25" s="129"/>
      <c r="AM25" s="129"/>
      <c r="AN25" s="129"/>
      <c r="AO25" s="129"/>
      <c r="AP25" s="129"/>
      <c r="AQ25" s="129"/>
      <c r="AR25" s="107">
        <f t="shared" si="15"/>
        <v>0</v>
      </c>
      <c r="AS25" s="107">
        <f t="shared" si="15"/>
        <v>0</v>
      </c>
      <c r="AT25" s="129"/>
      <c r="AU25" s="129"/>
      <c r="AV25" s="129"/>
      <c r="AW25" s="129"/>
      <c r="AX25" s="129"/>
      <c r="AY25" s="129"/>
      <c r="AZ25" s="129"/>
      <c r="BA25" s="129"/>
      <c r="BB25" s="107">
        <f t="shared" si="16"/>
        <v>0</v>
      </c>
      <c r="BC25" s="107">
        <f t="shared" si="16"/>
        <v>0</v>
      </c>
      <c r="BD25" s="107">
        <f t="shared" si="17"/>
        <v>678709.41999999993</v>
      </c>
      <c r="BE25" s="107">
        <f t="shared" si="17"/>
        <v>0</v>
      </c>
      <c r="BF25" s="107">
        <f t="shared" si="6"/>
        <v>678709.41999999993</v>
      </c>
    </row>
    <row r="26" spans="1:58" x14ac:dyDescent="0.25">
      <c r="A26" s="115" t="s">
        <v>100</v>
      </c>
      <c r="B26" s="105">
        <v>1228507</v>
      </c>
      <c r="C26" s="105">
        <v>0</v>
      </c>
      <c r="D26" s="106">
        <f t="shared" si="2"/>
        <v>1228507</v>
      </c>
      <c r="F26" s="107"/>
      <c r="G26" s="107"/>
      <c r="H26" s="107"/>
      <c r="I26" s="107"/>
      <c r="J26" s="107"/>
      <c r="K26" s="107"/>
      <c r="L26" s="107"/>
      <c r="M26" s="107"/>
      <c r="N26" s="107">
        <f t="shared" si="12"/>
        <v>0</v>
      </c>
      <c r="O26" s="107">
        <f t="shared" si="12"/>
        <v>0</v>
      </c>
      <c r="P26" s="107">
        <v>0</v>
      </c>
      <c r="Q26" s="107"/>
      <c r="R26" s="107">
        <v>0</v>
      </c>
      <c r="S26" s="129"/>
      <c r="T26" s="107">
        <v>587963.44999999995</v>
      </c>
      <c r="U26" s="129"/>
      <c r="V26" s="107">
        <v>640543.55000000005</v>
      </c>
      <c r="W26" s="129"/>
      <c r="X26" s="107">
        <f t="shared" si="13"/>
        <v>1228507</v>
      </c>
      <c r="Y26" s="107">
        <f t="shared" si="13"/>
        <v>0</v>
      </c>
      <c r="Z26" s="129"/>
      <c r="AA26" s="129"/>
      <c r="AB26" s="129"/>
      <c r="AC26" s="129"/>
      <c r="AD26" s="129"/>
      <c r="AE26" s="129"/>
      <c r="AF26" s="129"/>
      <c r="AG26" s="129"/>
      <c r="AH26" s="107">
        <f t="shared" si="14"/>
        <v>0</v>
      </c>
      <c r="AI26" s="107">
        <f t="shared" si="14"/>
        <v>0</v>
      </c>
      <c r="AJ26" s="129"/>
      <c r="AK26" s="129"/>
      <c r="AL26" s="129"/>
      <c r="AM26" s="129"/>
      <c r="AN26" s="129"/>
      <c r="AO26" s="129"/>
      <c r="AP26" s="129"/>
      <c r="AQ26" s="129"/>
      <c r="AR26" s="107">
        <f t="shared" si="15"/>
        <v>0</v>
      </c>
      <c r="AS26" s="107">
        <f t="shared" si="15"/>
        <v>0</v>
      </c>
      <c r="AT26" s="129"/>
      <c r="AU26" s="129"/>
      <c r="AV26" s="129"/>
      <c r="AW26" s="129"/>
      <c r="AX26" s="129"/>
      <c r="AY26" s="129"/>
      <c r="AZ26" s="129"/>
      <c r="BA26" s="129"/>
      <c r="BB26" s="107">
        <f t="shared" si="16"/>
        <v>0</v>
      </c>
      <c r="BC26" s="107">
        <f t="shared" si="16"/>
        <v>0</v>
      </c>
      <c r="BD26" s="107">
        <f t="shared" si="17"/>
        <v>1228507</v>
      </c>
      <c r="BE26" s="107">
        <f t="shared" si="17"/>
        <v>0</v>
      </c>
      <c r="BF26" s="107">
        <f t="shared" si="6"/>
        <v>1228507</v>
      </c>
    </row>
    <row r="27" spans="1:58" x14ac:dyDescent="0.25">
      <c r="A27" s="115" t="s">
        <v>101</v>
      </c>
      <c r="B27" s="119">
        <v>797662.08</v>
      </c>
      <c r="C27" s="119">
        <v>0</v>
      </c>
      <c r="D27" s="106">
        <f t="shared" si="2"/>
        <v>797662.08</v>
      </c>
      <c r="F27" s="108"/>
      <c r="G27" s="108"/>
      <c r="H27" s="108"/>
      <c r="I27" s="108"/>
      <c r="J27" s="108"/>
      <c r="K27" s="108"/>
      <c r="L27" s="108"/>
      <c r="M27" s="108"/>
      <c r="N27" s="108">
        <f t="shared" si="12"/>
        <v>0</v>
      </c>
      <c r="O27" s="108">
        <f t="shared" si="12"/>
        <v>0</v>
      </c>
      <c r="P27" s="108">
        <v>0</v>
      </c>
      <c r="Q27" s="108"/>
      <c r="R27" s="108">
        <v>0</v>
      </c>
      <c r="S27" s="109"/>
      <c r="T27" s="108">
        <f>178848*2.23</f>
        <v>398831.04</v>
      </c>
      <c r="U27" s="109"/>
      <c r="V27" s="108">
        <f>178848*2.23</f>
        <v>398831.04</v>
      </c>
      <c r="W27" s="109"/>
      <c r="X27" s="108">
        <f t="shared" si="13"/>
        <v>797662.08</v>
      </c>
      <c r="Y27" s="108">
        <f t="shared" si="13"/>
        <v>0</v>
      </c>
      <c r="Z27" s="109"/>
      <c r="AA27" s="109"/>
      <c r="AB27" s="109"/>
      <c r="AC27" s="109"/>
      <c r="AD27" s="109"/>
      <c r="AE27" s="109"/>
      <c r="AF27" s="109"/>
      <c r="AG27" s="109"/>
      <c r="AH27" s="108">
        <f t="shared" si="14"/>
        <v>0</v>
      </c>
      <c r="AI27" s="108">
        <f t="shared" si="14"/>
        <v>0</v>
      </c>
      <c r="AJ27" s="109"/>
      <c r="AK27" s="109"/>
      <c r="AL27" s="109"/>
      <c r="AM27" s="109"/>
      <c r="AN27" s="109"/>
      <c r="AO27" s="109"/>
      <c r="AP27" s="109"/>
      <c r="AQ27" s="109"/>
      <c r="AR27" s="108">
        <f t="shared" si="15"/>
        <v>0</v>
      </c>
      <c r="AS27" s="108">
        <f t="shared" si="15"/>
        <v>0</v>
      </c>
      <c r="AT27" s="109"/>
      <c r="AU27" s="109"/>
      <c r="AV27" s="109"/>
      <c r="AW27" s="109"/>
      <c r="AX27" s="109"/>
      <c r="AY27" s="109"/>
      <c r="AZ27" s="109"/>
      <c r="BA27" s="109"/>
      <c r="BB27" s="108">
        <f t="shared" si="16"/>
        <v>0</v>
      </c>
      <c r="BC27" s="108">
        <f t="shared" si="16"/>
        <v>0</v>
      </c>
      <c r="BD27" s="108">
        <f t="shared" si="17"/>
        <v>797662.08</v>
      </c>
      <c r="BE27" s="108">
        <f t="shared" si="17"/>
        <v>0</v>
      </c>
      <c r="BF27" s="108">
        <f t="shared" si="6"/>
        <v>797662.08</v>
      </c>
    </row>
    <row r="28" spans="1:58" x14ac:dyDescent="0.25">
      <c r="A28" s="115" t="s">
        <v>102</v>
      </c>
      <c r="B28" s="119">
        <v>786244.48</v>
      </c>
      <c r="C28" s="119">
        <v>0</v>
      </c>
      <c r="D28" s="106">
        <f t="shared" si="2"/>
        <v>786244.48</v>
      </c>
      <c r="F28" s="108"/>
      <c r="G28" s="108"/>
      <c r="H28" s="108"/>
      <c r="I28" s="108"/>
      <c r="J28" s="108"/>
      <c r="K28" s="108"/>
      <c r="L28" s="108"/>
      <c r="M28" s="108"/>
      <c r="N28" s="108">
        <f t="shared" si="12"/>
        <v>0</v>
      </c>
      <c r="O28" s="108">
        <f t="shared" si="12"/>
        <v>0</v>
      </c>
      <c r="P28" s="108">
        <v>0</v>
      </c>
      <c r="Q28" s="108"/>
      <c r="R28" s="108">
        <v>0</v>
      </c>
      <c r="S28" s="109"/>
      <c r="T28" s="108">
        <f>176288*2.23</f>
        <v>393122.24</v>
      </c>
      <c r="U28" s="109"/>
      <c r="V28" s="108">
        <f>176288*2.23</f>
        <v>393122.24</v>
      </c>
      <c r="W28" s="109"/>
      <c r="X28" s="108">
        <f t="shared" si="13"/>
        <v>786244.48</v>
      </c>
      <c r="Y28" s="108">
        <f t="shared" si="13"/>
        <v>0</v>
      </c>
      <c r="Z28" s="109"/>
      <c r="AA28" s="109"/>
      <c r="AB28" s="109"/>
      <c r="AC28" s="109"/>
      <c r="AD28" s="109"/>
      <c r="AE28" s="109"/>
      <c r="AF28" s="109"/>
      <c r="AG28" s="109"/>
      <c r="AH28" s="108">
        <f t="shared" si="14"/>
        <v>0</v>
      </c>
      <c r="AI28" s="108">
        <f t="shared" si="14"/>
        <v>0</v>
      </c>
      <c r="AJ28" s="109"/>
      <c r="AK28" s="109"/>
      <c r="AL28" s="109"/>
      <c r="AM28" s="109"/>
      <c r="AN28" s="109"/>
      <c r="AO28" s="109"/>
      <c r="AP28" s="109"/>
      <c r="AQ28" s="109"/>
      <c r="AR28" s="108">
        <f t="shared" si="15"/>
        <v>0</v>
      </c>
      <c r="AS28" s="108">
        <f t="shared" si="15"/>
        <v>0</v>
      </c>
      <c r="AT28" s="109"/>
      <c r="AU28" s="109"/>
      <c r="AV28" s="109"/>
      <c r="AW28" s="109"/>
      <c r="AX28" s="109"/>
      <c r="AY28" s="109"/>
      <c r="AZ28" s="109"/>
      <c r="BA28" s="109"/>
      <c r="BB28" s="108">
        <f t="shared" si="16"/>
        <v>0</v>
      </c>
      <c r="BC28" s="108">
        <f t="shared" si="16"/>
        <v>0</v>
      </c>
      <c r="BD28" s="108">
        <f t="shared" si="17"/>
        <v>786244.48</v>
      </c>
      <c r="BE28" s="108">
        <f t="shared" si="17"/>
        <v>0</v>
      </c>
      <c r="BF28" s="108">
        <f t="shared" si="6"/>
        <v>786244.48</v>
      </c>
    </row>
    <row r="29" spans="1:58" x14ac:dyDescent="0.25">
      <c r="A29" s="115" t="s">
        <v>103</v>
      </c>
      <c r="B29" s="119">
        <v>555073.76</v>
      </c>
      <c r="C29" s="119">
        <v>0</v>
      </c>
      <c r="D29" s="106">
        <f t="shared" si="2"/>
        <v>555073.76</v>
      </c>
      <c r="F29" s="108"/>
      <c r="G29" s="108"/>
      <c r="H29" s="108"/>
      <c r="I29" s="108"/>
      <c r="J29" s="108"/>
      <c r="K29" s="108"/>
      <c r="L29" s="108"/>
      <c r="M29" s="108"/>
      <c r="N29" s="108">
        <f t="shared" si="12"/>
        <v>0</v>
      </c>
      <c r="O29" s="108">
        <f t="shared" si="12"/>
        <v>0</v>
      </c>
      <c r="P29" s="109">
        <v>0</v>
      </c>
      <c r="Q29" s="109"/>
      <c r="R29" s="109">
        <v>0</v>
      </c>
      <c r="S29" s="109"/>
      <c r="T29" s="109">
        <f>124456*2.23</f>
        <v>277536.88</v>
      </c>
      <c r="U29" s="109"/>
      <c r="V29" s="109">
        <f>124456*2.23</f>
        <v>277536.88</v>
      </c>
      <c r="W29" s="109"/>
      <c r="X29" s="108">
        <f t="shared" si="13"/>
        <v>555073.76</v>
      </c>
      <c r="Y29" s="108">
        <f t="shared" si="13"/>
        <v>0</v>
      </c>
      <c r="Z29" s="109"/>
      <c r="AA29" s="109"/>
      <c r="AB29" s="109"/>
      <c r="AC29" s="109"/>
      <c r="AD29" s="109"/>
      <c r="AE29" s="109"/>
      <c r="AF29" s="109"/>
      <c r="AG29" s="109"/>
      <c r="AH29" s="108">
        <f t="shared" si="14"/>
        <v>0</v>
      </c>
      <c r="AI29" s="108">
        <f t="shared" si="14"/>
        <v>0</v>
      </c>
      <c r="AJ29" s="109"/>
      <c r="AK29" s="109"/>
      <c r="AL29" s="109"/>
      <c r="AM29" s="109"/>
      <c r="AN29" s="109"/>
      <c r="AO29" s="109"/>
      <c r="AP29" s="109"/>
      <c r="AQ29" s="109"/>
      <c r="AR29" s="108">
        <f t="shared" si="15"/>
        <v>0</v>
      </c>
      <c r="AS29" s="108">
        <f t="shared" si="15"/>
        <v>0</v>
      </c>
      <c r="AT29" s="109"/>
      <c r="AU29" s="109"/>
      <c r="AV29" s="109"/>
      <c r="AW29" s="109"/>
      <c r="AX29" s="109"/>
      <c r="AY29" s="109"/>
      <c r="AZ29" s="109"/>
      <c r="BA29" s="109"/>
      <c r="BB29" s="108">
        <f t="shared" si="16"/>
        <v>0</v>
      </c>
      <c r="BC29" s="108">
        <f t="shared" si="16"/>
        <v>0</v>
      </c>
      <c r="BD29" s="108">
        <f t="shared" si="17"/>
        <v>555073.76</v>
      </c>
      <c r="BE29" s="108">
        <f t="shared" si="17"/>
        <v>0</v>
      </c>
      <c r="BF29" s="108">
        <f t="shared" si="6"/>
        <v>555073.76</v>
      </c>
    </row>
    <row r="30" spans="1:58" x14ac:dyDescent="0.25">
      <c r="A30" s="115" t="s">
        <v>104</v>
      </c>
      <c r="B30" s="119">
        <v>499520</v>
      </c>
      <c r="C30" s="119">
        <v>0</v>
      </c>
      <c r="D30" s="106">
        <f t="shared" si="2"/>
        <v>499520</v>
      </c>
      <c r="F30" s="108"/>
      <c r="G30" s="108"/>
      <c r="H30" s="108"/>
      <c r="I30" s="108"/>
      <c r="J30" s="108"/>
      <c r="K30" s="108"/>
      <c r="L30" s="108"/>
      <c r="M30" s="108"/>
      <c r="N30" s="108">
        <f t="shared" si="12"/>
        <v>0</v>
      </c>
      <c r="O30" s="108">
        <f t="shared" si="12"/>
        <v>0</v>
      </c>
      <c r="P30" s="109">
        <v>0</v>
      </c>
      <c r="Q30" s="109"/>
      <c r="R30" s="109">
        <v>0</v>
      </c>
      <c r="S30" s="109"/>
      <c r="T30" s="109">
        <f>112000*2.23</f>
        <v>249760</v>
      </c>
      <c r="U30" s="109"/>
      <c r="V30" s="109">
        <f>112000*2.23</f>
        <v>249760</v>
      </c>
      <c r="W30" s="109"/>
      <c r="X30" s="108">
        <f t="shared" si="13"/>
        <v>499520</v>
      </c>
      <c r="Y30" s="108">
        <f t="shared" si="13"/>
        <v>0</v>
      </c>
      <c r="Z30" s="109"/>
      <c r="AA30" s="109"/>
      <c r="AB30" s="109"/>
      <c r="AC30" s="109"/>
      <c r="AD30" s="109"/>
      <c r="AE30" s="109"/>
      <c r="AF30" s="109"/>
      <c r="AG30" s="109"/>
      <c r="AH30" s="108">
        <f t="shared" si="14"/>
        <v>0</v>
      </c>
      <c r="AI30" s="108">
        <f t="shared" si="14"/>
        <v>0</v>
      </c>
      <c r="AJ30" s="109"/>
      <c r="AK30" s="109"/>
      <c r="AL30" s="109"/>
      <c r="AM30" s="109"/>
      <c r="AN30" s="109"/>
      <c r="AO30" s="109"/>
      <c r="AP30" s="109"/>
      <c r="AQ30" s="109"/>
      <c r="AR30" s="108">
        <f t="shared" si="15"/>
        <v>0</v>
      </c>
      <c r="AS30" s="108">
        <f t="shared" si="15"/>
        <v>0</v>
      </c>
      <c r="AT30" s="109"/>
      <c r="AU30" s="109"/>
      <c r="AV30" s="109"/>
      <c r="AW30" s="109"/>
      <c r="AX30" s="109"/>
      <c r="AY30" s="109"/>
      <c r="AZ30" s="109"/>
      <c r="BA30" s="109"/>
      <c r="BB30" s="108">
        <f t="shared" si="16"/>
        <v>0</v>
      </c>
      <c r="BC30" s="108">
        <f t="shared" si="16"/>
        <v>0</v>
      </c>
      <c r="BD30" s="108">
        <f t="shared" si="17"/>
        <v>499520</v>
      </c>
      <c r="BE30" s="108">
        <f t="shared" si="17"/>
        <v>0</v>
      </c>
      <c r="BF30" s="108">
        <f t="shared" si="6"/>
        <v>499520</v>
      </c>
    </row>
    <row r="31" spans="1:58" x14ac:dyDescent="0.25">
      <c r="A31" s="115" t="s">
        <v>105</v>
      </c>
      <c r="B31" s="119">
        <v>312200</v>
      </c>
      <c r="C31" s="119">
        <v>0</v>
      </c>
      <c r="D31" s="106">
        <f t="shared" si="2"/>
        <v>312200</v>
      </c>
      <c r="F31" s="108"/>
      <c r="G31" s="108"/>
      <c r="H31" s="108"/>
      <c r="I31" s="108"/>
      <c r="J31" s="108">
        <v>234150</v>
      </c>
      <c r="K31" s="108"/>
      <c r="L31" s="108">
        <v>78050</v>
      </c>
      <c r="M31" s="108"/>
      <c r="N31" s="108">
        <f>+L31+J31+F31+H31</f>
        <v>312200</v>
      </c>
      <c r="O31" s="108">
        <f>+M31+K31+G31+I31</f>
        <v>0</v>
      </c>
      <c r="P31" s="109"/>
      <c r="Q31" s="109"/>
      <c r="R31" s="109"/>
      <c r="S31" s="109"/>
      <c r="T31" s="108">
        <v>0</v>
      </c>
      <c r="U31" s="108"/>
      <c r="V31" s="108">
        <v>0</v>
      </c>
      <c r="W31" s="109"/>
      <c r="X31" s="108">
        <f>+V31+T31+P31+R31</f>
        <v>0</v>
      </c>
      <c r="Y31" s="108">
        <f>+W31+U31+Q31+S31</f>
        <v>0</v>
      </c>
      <c r="Z31" s="109">
        <v>0</v>
      </c>
      <c r="AA31" s="109"/>
      <c r="AB31" s="109">
        <v>0</v>
      </c>
      <c r="AC31" s="109"/>
      <c r="AD31" s="109"/>
      <c r="AE31" s="109"/>
      <c r="AF31" s="109"/>
      <c r="AG31" s="109"/>
      <c r="AH31" s="108">
        <f>+AF31+AD31+Z31+AB31</f>
        <v>0</v>
      </c>
      <c r="AI31" s="108">
        <f>+AG31+AE31+AA31+AC31</f>
        <v>0</v>
      </c>
      <c r="AJ31" s="109"/>
      <c r="AK31" s="109"/>
      <c r="AL31" s="109"/>
      <c r="AM31" s="109"/>
      <c r="AN31" s="109"/>
      <c r="AO31" s="109"/>
      <c r="AP31" s="109"/>
      <c r="AQ31" s="109"/>
      <c r="AR31" s="108">
        <f>+AP31+AN31+AJ31+AL31</f>
        <v>0</v>
      </c>
      <c r="AS31" s="108">
        <f>+AQ31+AO31+AK31+AM31</f>
        <v>0</v>
      </c>
      <c r="AT31" s="109"/>
      <c r="AU31" s="109"/>
      <c r="AV31" s="109"/>
      <c r="AW31" s="109"/>
      <c r="AX31" s="109"/>
      <c r="AY31" s="109"/>
      <c r="AZ31" s="109"/>
      <c r="BA31" s="109"/>
      <c r="BB31" s="108">
        <f>+AZ31+AX31+AT31+AV31</f>
        <v>0</v>
      </c>
      <c r="BC31" s="108">
        <f>+BA31+AY31+AU31+AW31</f>
        <v>0</v>
      </c>
      <c r="BD31" s="108">
        <f t="shared" si="17"/>
        <v>312200</v>
      </c>
      <c r="BE31" s="108">
        <f t="shared" si="17"/>
        <v>0</v>
      </c>
      <c r="BF31" s="107">
        <f>BD31+BE31</f>
        <v>312200</v>
      </c>
    </row>
    <row r="32" spans="1:58" x14ac:dyDescent="0.25">
      <c r="A32" s="115" t="s">
        <v>106</v>
      </c>
      <c r="B32" s="105">
        <v>553040</v>
      </c>
      <c r="C32" s="105">
        <v>0</v>
      </c>
      <c r="D32" s="106">
        <f t="shared" si="2"/>
        <v>553040</v>
      </c>
      <c r="F32" s="108"/>
      <c r="G32" s="108"/>
      <c r="H32" s="108"/>
      <c r="I32" s="108"/>
      <c r="J32" s="108">
        <v>414780</v>
      </c>
      <c r="K32" s="108"/>
      <c r="L32" s="108">
        <v>138260</v>
      </c>
      <c r="M32" s="108"/>
      <c r="N32" s="108">
        <f>+L32+J32+F32+H32</f>
        <v>553040</v>
      </c>
      <c r="O32" s="108">
        <f>+M32+K32+G32+I32</f>
        <v>0</v>
      </c>
      <c r="P32" s="109"/>
      <c r="Q32" s="109"/>
      <c r="R32" s="109"/>
      <c r="S32" s="109"/>
      <c r="T32" s="108">
        <v>0</v>
      </c>
      <c r="U32" s="108"/>
      <c r="V32" s="108">
        <v>0</v>
      </c>
      <c r="W32" s="109"/>
      <c r="X32" s="108">
        <f>+V32+T32+P32+R32</f>
        <v>0</v>
      </c>
      <c r="Y32" s="108">
        <f>+W32+U32+Q32+S32</f>
        <v>0</v>
      </c>
      <c r="Z32" s="109">
        <v>0</v>
      </c>
      <c r="AA32" s="109"/>
      <c r="AB32" s="109">
        <v>0</v>
      </c>
      <c r="AC32" s="109"/>
      <c r="AD32" s="109"/>
      <c r="AE32" s="109"/>
      <c r="AF32" s="109"/>
      <c r="AG32" s="109"/>
      <c r="AH32" s="108">
        <f>+AF32+AD32+Z32+AB32</f>
        <v>0</v>
      </c>
      <c r="AI32" s="108">
        <f>+AG32+AE32+AA32+AC32</f>
        <v>0</v>
      </c>
      <c r="AJ32" s="109"/>
      <c r="AK32" s="109"/>
      <c r="AL32" s="109"/>
      <c r="AM32" s="109"/>
      <c r="AN32" s="109"/>
      <c r="AO32" s="109"/>
      <c r="AP32" s="109"/>
      <c r="AQ32" s="109"/>
      <c r="AR32" s="108">
        <f>+AP32+AN32+AJ32+AL32</f>
        <v>0</v>
      </c>
      <c r="AS32" s="108">
        <f>+AQ32+AO32+AK32+AM32</f>
        <v>0</v>
      </c>
      <c r="AT32" s="109"/>
      <c r="AU32" s="109"/>
      <c r="AV32" s="109"/>
      <c r="AW32" s="109"/>
      <c r="AX32" s="109"/>
      <c r="AY32" s="109"/>
      <c r="AZ32" s="109"/>
      <c r="BA32" s="109"/>
      <c r="BB32" s="108">
        <f>+AZ32+AX32+AT32+AV32</f>
        <v>0</v>
      </c>
      <c r="BC32" s="108">
        <f>+BA32+AY32+AU32+AW32</f>
        <v>0</v>
      </c>
      <c r="BD32" s="108">
        <f t="shared" si="17"/>
        <v>553040</v>
      </c>
      <c r="BE32" s="108">
        <f t="shared" si="17"/>
        <v>0</v>
      </c>
      <c r="BF32" s="107">
        <f>BD32+BE32</f>
        <v>553040</v>
      </c>
    </row>
    <row r="33" spans="1:58" ht="20.45" customHeight="1" x14ac:dyDescent="0.25">
      <c r="A33" s="130" t="s">
        <v>107</v>
      </c>
      <c r="B33" s="103">
        <f>B34+B35+B36+B37+B38+B39+B40+B42+B43+B41</f>
        <v>14418693.609999999</v>
      </c>
      <c r="C33" s="103">
        <f>C34+C35+C36+C37+C38+C39+C40+C42+C43+C41</f>
        <v>22175499.880000003</v>
      </c>
      <c r="D33" s="103">
        <f>B33+C33</f>
        <v>36594193.490000002</v>
      </c>
      <c r="F33" s="131">
        <f>SUM(F34:F43)</f>
        <v>0</v>
      </c>
      <c r="G33" s="131">
        <f t="shared" ref="G33:BF33" si="18">SUM(G34:G43)</f>
        <v>0</v>
      </c>
      <c r="H33" s="131">
        <f t="shared" si="18"/>
        <v>0</v>
      </c>
      <c r="I33" s="131">
        <f t="shared" si="18"/>
        <v>0</v>
      </c>
      <c r="J33" s="131">
        <f t="shared" si="18"/>
        <v>1556106</v>
      </c>
      <c r="K33" s="131">
        <f t="shared" si="18"/>
        <v>0</v>
      </c>
      <c r="L33" s="131">
        <f t="shared" si="18"/>
        <v>2575965.48</v>
      </c>
      <c r="M33" s="131">
        <f t="shared" si="18"/>
        <v>6320642.5700000003</v>
      </c>
      <c r="N33" s="131">
        <f t="shared" si="18"/>
        <v>4132071.48</v>
      </c>
      <c r="O33" s="131">
        <f t="shared" si="18"/>
        <v>9534214.7400000002</v>
      </c>
      <c r="P33" s="131">
        <f t="shared" si="18"/>
        <v>1370738</v>
      </c>
      <c r="Q33" s="131">
        <f t="shared" si="18"/>
        <v>0</v>
      </c>
      <c r="R33" s="131">
        <f t="shared" si="18"/>
        <v>1000000</v>
      </c>
      <c r="S33" s="131">
        <f t="shared" si="18"/>
        <v>0</v>
      </c>
      <c r="T33" s="131">
        <f t="shared" si="18"/>
        <v>0</v>
      </c>
      <c r="U33" s="131">
        <f t="shared" si="18"/>
        <v>0</v>
      </c>
      <c r="V33" s="131">
        <f t="shared" si="18"/>
        <v>6587009.7199999997</v>
      </c>
      <c r="W33" s="131">
        <f t="shared" si="18"/>
        <v>6320642.5700000003</v>
      </c>
      <c r="X33" s="131">
        <f t="shared" si="18"/>
        <v>8957747.7199999988</v>
      </c>
      <c r="Y33" s="131">
        <f t="shared" si="18"/>
        <v>6320642.5700000003</v>
      </c>
      <c r="Z33" s="131">
        <f t="shared" si="18"/>
        <v>0</v>
      </c>
      <c r="AA33" s="131">
        <f t="shared" si="18"/>
        <v>0</v>
      </c>
      <c r="AB33" s="131">
        <f t="shared" si="18"/>
        <v>1328874.4099999999</v>
      </c>
      <c r="AC33" s="131">
        <f t="shared" si="18"/>
        <v>0</v>
      </c>
      <c r="AD33" s="131">
        <f t="shared" si="18"/>
        <v>0</v>
      </c>
      <c r="AE33" s="131">
        <f t="shared" si="18"/>
        <v>0</v>
      </c>
      <c r="AF33" s="131">
        <f t="shared" si="18"/>
        <v>0</v>
      </c>
      <c r="AG33" s="131">
        <f t="shared" si="18"/>
        <v>6320642.5700000003</v>
      </c>
      <c r="AH33" s="131">
        <f t="shared" si="18"/>
        <v>1328874.4099999999</v>
      </c>
      <c r="AI33" s="131">
        <f t="shared" si="18"/>
        <v>6320642.5700000003</v>
      </c>
      <c r="AJ33" s="131">
        <f t="shared" si="18"/>
        <v>0</v>
      </c>
      <c r="AK33" s="131">
        <f t="shared" si="18"/>
        <v>0</v>
      </c>
      <c r="AL33" s="131">
        <f t="shared" si="18"/>
        <v>0</v>
      </c>
      <c r="AM33" s="131">
        <f t="shared" si="18"/>
        <v>0</v>
      </c>
      <c r="AN33" s="131">
        <f t="shared" si="18"/>
        <v>0</v>
      </c>
      <c r="AO33" s="131">
        <f t="shared" si="18"/>
        <v>0</v>
      </c>
      <c r="AP33" s="131">
        <f t="shared" si="18"/>
        <v>0</v>
      </c>
      <c r="AQ33" s="131">
        <f t="shared" si="18"/>
        <v>0</v>
      </c>
      <c r="AR33" s="131">
        <f t="shared" si="18"/>
        <v>0</v>
      </c>
      <c r="AS33" s="131">
        <f t="shared" si="18"/>
        <v>0</v>
      </c>
      <c r="AT33" s="131">
        <f t="shared" si="18"/>
        <v>0</v>
      </c>
      <c r="AU33" s="131">
        <f t="shared" si="18"/>
        <v>0</v>
      </c>
      <c r="AV33" s="131">
        <f t="shared" si="18"/>
        <v>0</v>
      </c>
      <c r="AW33" s="131">
        <f t="shared" si="18"/>
        <v>0</v>
      </c>
      <c r="AX33" s="131">
        <f t="shared" si="18"/>
        <v>0</v>
      </c>
      <c r="AY33" s="131">
        <f t="shared" si="18"/>
        <v>0</v>
      </c>
      <c r="AZ33" s="131">
        <f t="shared" si="18"/>
        <v>0</v>
      </c>
      <c r="BA33" s="131">
        <f t="shared" si="18"/>
        <v>0</v>
      </c>
      <c r="BB33" s="131">
        <f t="shared" si="18"/>
        <v>0</v>
      </c>
      <c r="BC33" s="131">
        <f t="shared" si="18"/>
        <v>0</v>
      </c>
      <c r="BD33" s="131">
        <f t="shared" si="18"/>
        <v>14418693.609999999</v>
      </c>
      <c r="BE33" s="131">
        <f t="shared" si="18"/>
        <v>22175499.880000003</v>
      </c>
      <c r="BF33" s="131">
        <f t="shared" si="18"/>
        <v>36594193.490000002</v>
      </c>
    </row>
    <row r="34" spans="1:58" x14ac:dyDescent="0.25">
      <c r="A34" s="132" t="s">
        <v>108</v>
      </c>
      <c r="B34" s="119">
        <v>4598716.91</v>
      </c>
      <c r="C34" s="127">
        <v>0</v>
      </c>
      <c r="D34" s="133">
        <f>B34+C34</f>
        <v>4598716.91</v>
      </c>
      <c r="F34" s="108"/>
      <c r="G34" s="108"/>
      <c r="H34" s="108"/>
      <c r="I34" s="108"/>
      <c r="J34" s="109">
        <v>1000000</v>
      </c>
      <c r="K34" s="108"/>
      <c r="L34" s="109">
        <v>1598716.9100000001</v>
      </c>
      <c r="M34" s="108"/>
      <c r="N34" s="108">
        <f>L34+J34+F34+H34</f>
        <v>2598716.91</v>
      </c>
      <c r="O34" s="108">
        <f>+M34+K34+G34+I34</f>
        <v>0</v>
      </c>
      <c r="P34" s="109">
        <v>1000000</v>
      </c>
      <c r="Q34" s="109"/>
      <c r="R34" s="109">
        <v>1000000</v>
      </c>
      <c r="S34" s="109"/>
      <c r="T34" s="109">
        <v>0</v>
      </c>
      <c r="U34" s="109"/>
      <c r="V34" s="109">
        <v>0</v>
      </c>
      <c r="W34" s="109"/>
      <c r="X34" s="108">
        <f>+V34+T34+P34+R34</f>
        <v>2000000</v>
      </c>
      <c r="Y34" s="108">
        <f>+W34+U34+Q34+S34</f>
        <v>0</v>
      </c>
      <c r="Z34" s="109">
        <v>0</v>
      </c>
      <c r="AA34" s="109"/>
      <c r="AB34" s="109">
        <v>0</v>
      </c>
      <c r="AC34" s="109"/>
      <c r="AD34" s="109"/>
      <c r="AE34" s="109"/>
      <c r="AF34" s="109"/>
      <c r="AG34" s="109"/>
      <c r="AH34" s="108">
        <f>+AF34+AD34+Z34+AB34</f>
        <v>0</v>
      </c>
      <c r="AI34" s="108">
        <f>+AG34+AE34+AA34+AC34</f>
        <v>0</v>
      </c>
      <c r="AJ34" s="109"/>
      <c r="AK34" s="109"/>
      <c r="AL34" s="109"/>
      <c r="AM34" s="109"/>
      <c r="AN34" s="109"/>
      <c r="AO34" s="109"/>
      <c r="AP34" s="109"/>
      <c r="AQ34" s="109"/>
      <c r="AR34" s="108">
        <f>+AP34+AN34+AJ34+AL34</f>
        <v>0</v>
      </c>
      <c r="AS34" s="108">
        <f>+AQ34+AO34+AK34+AM34</f>
        <v>0</v>
      </c>
      <c r="AT34" s="109"/>
      <c r="AU34" s="109"/>
      <c r="AV34" s="109"/>
      <c r="AW34" s="109"/>
      <c r="AX34" s="109"/>
      <c r="AY34" s="109"/>
      <c r="AZ34" s="109"/>
      <c r="BA34" s="109"/>
      <c r="BB34" s="108">
        <f>+AZ34+AX34+AT34+AV34</f>
        <v>0</v>
      </c>
      <c r="BC34" s="108">
        <f>+BA34+AY34+AU34+AW34</f>
        <v>0</v>
      </c>
      <c r="BD34" s="108">
        <f t="shared" ref="BD34:BE36" si="19">+BB34+AR34+AH34+X34+N34</f>
        <v>4598716.91</v>
      </c>
      <c r="BE34" s="108">
        <f t="shared" si="19"/>
        <v>0</v>
      </c>
      <c r="BF34" s="107">
        <f t="shared" ref="BF34:BF43" si="20">D34</f>
        <v>4598716.91</v>
      </c>
    </row>
    <row r="35" spans="1:58" x14ac:dyDescent="0.25">
      <c r="A35" s="115" t="s">
        <v>109</v>
      </c>
      <c r="B35" s="119">
        <v>1482950</v>
      </c>
      <c r="C35" s="127">
        <v>0</v>
      </c>
      <c r="D35" s="133">
        <f t="shared" ref="D35:D58" si="21">B35+C35</f>
        <v>1482950</v>
      </c>
      <c r="F35" s="107"/>
      <c r="G35" s="107"/>
      <c r="H35" s="107"/>
      <c r="I35" s="107"/>
      <c r="J35" s="107">
        <v>556106</v>
      </c>
      <c r="K35" s="107"/>
      <c r="L35" s="109">
        <v>556106</v>
      </c>
      <c r="M35" s="107"/>
      <c r="N35" s="108">
        <f>+L35+J35+F35+H35</f>
        <v>1112212</v>
      </c>
      <c r="O35" s="108">
        <f>+M35+K35+G35+I35</f>
        <v>0</v>
      </c>
      <c r="P35" s="109">
        <v>370738</v>
      </c>
      <c r="Q35" s="107"/>
      <c r="R35" s="109"/>
      <c r="S35" s="107"/>
      <c r="T35" s="107">
        <v>0</v>
      </c>
      <c r="U35" s="109"/>
      <c r="V35" s="109">
        <v>0</v>
      </c>
      <c r="W35" s="109"/>
      <c r="X35" s="108">
        <f>+V35+T35+P35+R35</f>
        <v>370738</v>
      </c>
      <c r="Y35" s="108">
        <f>+W35+U35+Q35+S35</f>
        <v>0</v>
      </c>
      <c r="Z35" s="109">
        <v>0</v>
      </c>
      <c r="AA35" s="109"/>
      <c r="AB35" s="109">
        <v>0</v>
      </c>
      <c r="AC35" s="109"/>
      <c r="AD35" s="109"/>
      <c r="AE35" s="109"/>
      <c r="AF35" s="109"/>
      <c r="AG35" s="109"/>
      <c r="AH35" s="108">
        <f>+AF35+AD35+Z35+AB35</f>
        <v>0</v>
      </c>
      <c r="AI35" s="108">
        <f>+AG35+AE35+AA35+AC35</f>
        <v>0</v>
      </c>
      <c r="AJ35" s="109"/>
      <c r="AK35" s="109"/>
      <c r="AL35" s="109"/>
      <c r="AM35" s="109"/>
      <c r="AN35" s="109"/>
      <c r="AO35" s="109"/>
      <c r="AP35" s="109"/>
      <c r="AQ35" s="109"/>
      <c r="AR35" s="108">
        <f>+AP35+AN35+AJ35+AL35</f>
        <v>0</v>
      </c>
      <c r="AS35" s="108">
        <f>+AQ35+AO35+AK35+AM35</f>
        <v>0</v>
      </c>
      <c r="AT35" s="109"/>
      <c r="AU35" s="109"/>
      <c r="AV35" s="109"/>
      <c r="AW35" s="109"/>
      <c r="AX35" s="109"/>
      <c r="AY35" s="109"/>
      <c r="AZ35" s="109"/>
      <c r="BA35" s="109"/>
      <c r="BB35" s="108">
        <f>+AZ35+AX35+AT35+AV35</f>
        <v>0</v>
      </c>
      <c r="BC35" s="108">
        <f>+BA35+AY35+AU35+AW35</f>
        <v>0</v>
      </c>
      <c r="BD35" s="108">
        <f t="shared" si="19"/>
        <v>1482950</v>
      </c>
      <c r="BE35" s="108">
        <f t="shared" si="19"/>
        <v>0</v>
      </c>
      <c r="BF35" s="107">
        <f t="shared" si="20"/>
        <v>1482950</v>
      </c>
    </row>
    <row r="36" spans="1:58" x14ac:dyDescent="0.25">
      <c r="A36" s="123" t="s">
        <v>110</v>
      </c>
      <c r="B36" s="134">
        <v>0</v>
      </c>
      <c r="C36" s="112">
        <v>18961927.710000001</v>
      </c>
      <c r="D36" s="133">
        <f t="shared" si="21"/>
        <v>18961927.710000001</v>
      </c>
      <c r="F36" s="124"/>
      <c r="G36" s="135"/>
      <c r="H36" s="107"/>
      <c r="I36" s="135"/>
      <c r="J36" s="107"/>
      <c r="K36" s="135"/>
      <c r="L36" s="107"/>
      <c r="M36" s="136">
        <f>C36/3</f>
        <v>6320642.5700000003</v>
      </c>
      <c r="N36" s="121"/>
      <c r="O36" s="108">
        <f>M36</f>
        <v>6320642.5700000003</v>
      </c>
      <c r="P36" s="122"/>
      <c r="Q36" s="135"/>
      <c r="R36" s="109"/>
      <c r="S36" s="135"/>
      <c r="T36" s="109"/>
      <c r="U36" s="135"/>
      <c r="V36" s="109"/>
      <c r="W36" s="136">
        <f>C36/3</f>
        <v>6320642.5700000003</v>
      </c>
      <c r="X36" s="121">
        <f>+P36+R36+T36+V36</f>
        <v>0</v>
      </c>
      <c r="Y36" s="108">
        <f>+Q36+S36+U36+W36</f>
        <v>6320642.5700000003</v>
      </c>
      <c r="Z36" s="122"/>
      <c r="AA36" s="122"/>
      <c r="AB36" s="122"/>
      <c r="AC36" s="122"/>
      <c r="AD36" s="122"/>
      <c r="AE36" s="122"/>
      <c r="AF36" s="122"/>
      <c r="AG36" s="137">
        <f>C36/3</f>
        <v>6320642.5700000003</v>
      </c>
      <c r="AH36" s="121"/>
      <c r="AI36" s="121">
        <f>AG36</f>
        <v>6320642.5700000003</v>
      </c>
      <c r="AJ36" s="122"/>
      <c r="AK36" s="122"/>
      <c r="AL36" s="122"/>
      <c r="AM36" s="122"/>
      <c r="AN36" s="122"/>
      <c r="AO36" s="122"/>
      <c r="AP36" s="122"/>
      <c r="AQ36" s="122"/>
      <c r="AR36" s="121"/>
      <c r="AS36" s="121"/>
      <c r="AT36" s="122"/>
      <c r="AU36" s="122"/>
      <c r="AV36" s="122"/>
      <c r="AW36" s="122"/>
      <c r="AX36" s="122"/>
      <c r="AY36" s="122"/>
      <c r="AZ36" s="122"/>
      <c r="BA36" s="122"/>
      <c r="BB36" s="121"/>
      <c r="BC36" s="121"/>
      <c r="BD36" s="121">
        <f t="shared" si="19"/>
        <v>0</v>
      </c>
      <c r="BE36" s="108">
        <f t="shared" si="19"/>
        <v>18961927.710000001</v>
      </c>
      <c r="BF36" s="107">
        <f t="shared" si="20"/>
        <v>18961927.710000001</v>
      </c>
    </row>
    <row r="37" spans="1:58" x14ac:dyDescent="0.25">
      <c r="A37" s="126" t="s">
        <v>111</v>
      </c>
      <c r="B37" s="127">
        <v>0</v>
      </c>
      <c r="C37" s="138">
        <v>800000</v>
      </c>
      <c r="D37" s="139">
        <f t="shared" si="21"/>
        <v>800000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1">
        <v>800000</v>
      </c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1">
        <v>800000</v>
      </c>
      <c r="BF37" s="107">
        <f t="shared" si="20"/>
        <v>800000</v>
      </c>
    </row>
    <row r="38" spans="1:58" x14ac:dyDescent="0.25">
      <c r="A38" s="115" t="s">
        <v>112</v>
      </c>
      <c r="B38" s="119">
        <v>421142.57</v>
      </c>
      <c r="C38" s="119">
        <v>0</v>
      </c>
      <c r="D38" s="120">
        <f t="shared" si="21"/>
        <v>421142.57</v>
      </c>
      <c r="F38" s="108"/>
      <c r="G38" s="108"/>
      <c r="H38" s="108"/>
      <c r="I38" s="108"/>
      <c r="J38" s="109"/>
      <c r="K38" s="108"/>
      <c r="L38" s="109">
        <f>B38</f>
        <v>421142.57</v>
      </c>
      <c r="M38" s="108"/>
      <c r="N38" s="108">
        <f>+L38+J38+F38+H38</f>
        <v>421142.57</v>
      </c>
      <c r="O38" s="108">
        <f>+M38+K38+G38+I38</f>
        <v>0</v>
      </c>
      <c r="P38" s="109"/>
      <c r="Q38" s="109"/>
      <c r="R38" s="109"/>
      <c r="S38" s="109"/>
      <c r="T38" s="109">
        <v>0</v>
      </c>
      <c r="U38" s="109"/>
      <c r="V38" s="109">
        <v>0</v>
      </c>
      <c r="W38" s="109"/>
      <c r="X38" s="108">
        <f>+V38+T38+P38+R38</f>
        <v>0</v>
      </c>
      <c r="Y38" s="108">
        <f>+W38+U38+Q38+S38</f>
        <v>0</v>
      </c>
      <c r="Z38" s="109">
        <v>0</v>
      </c>
      <c r="AA38" s="109"/>
      <c r="AB38" s="109">
        <v>0</v>
      </c>
      <c r="AC38" s="109"/>
      <c r="AD38" s="109"/>
      <c r="AE38" s="109"/>
      <c r="AF38" s="109"/>
      <c r="AG38" s="109"/>
      <c r="AH38" s="108">
        <f>+AF38+AD38+Z38+AB38</f>
        <v>0</v>
      </c>
      <c r="AI38" s="108">
        <f>+AG38+AE38+AA38+AC38</f>
        <v>0</v>
      </c>
      <c r="AJ38" s="109"/>
      <c r="AK38" s="109"/>
      <c r="AL38" s="109"/>
      <c r="AM38" s="109"/>
      <c r="AN38" s="109"/>
      <c r="AO38" s="109"/>
      <c r="AP38" s="109"/>
      <c r="AQ38" s="109"/>
      <c r="AR38" s="108">
        <f>+AP38+AN38+AJ38+AL38</f>
        <v>0</v>
      </c>
      <c r="AS38" s="108">
        <f>+AQ38+AO38+AK38+AM38</f>
        <v>0</v>
      </c>
      <c r="AT38" s="109"/>
      <c r="AU38" s="109"/>
      <c r="AV38" s="109"/>
      <c r="AW38" s="109"/>
      <c r="AX38" s="109"/>
      <c r="AY38" s="109"/>
      <c r="AZ38" s="109"/>
      <c r="BA38" s="109"/>
      <c r="BB38" s="108">
        <f>+AZ38+AX38+AT38+AV38</f>
        <v>0</v>
      </c>
      <c r="BC38" s="108">
        <f>+BA38+AY38+AU38+AW38</f>
        <v>0</v>
      </c>
      <c r="BD38" s="108">
        <f t="shared" ref="BD38:BE40" si="22">+BB38+AR38+AH38+X38+N38</f>
        <v>421142.57</v>
      </c>
      <c r="BE38" s="108">
        <f t="shared" si="22"/>
        <v>0</v>
      </c>
      <c r="BF38" s="107">
        <f t="shared" si="20"/>
        <v>421142.57</v>
      </c>
    </row>
    <row r="39" spans="1:58" x14ac:dyDescent="0.25">
      <c r="A39" s="115" t="s">
        <v>113</v>
      </c>
      <c r="B39" s="105">
        <v>889365.25</v>
      </c>
      <c r="C39" s="105">
        <v>0</v>
      </c>
      <c r="D39" s="106">
        <f t="shared" si="21"/>
        <v>889365.25</v>
      </c>
      <c r="F39" s="107"/>
      <c r="G39" s="107"/>
      <c r="H39" s="107"/>
      <c r="I39" s="107"/>
      <c r="J39" s="107">
        <v>0</v>
      </c>
      <c r="K39" s="107">
        <v>0</v>
      </c>
      <c r="L39" s="107">
        <v>0</v>
      </c>
      <c r="M39" s="107"/>
      <c r="N39" s="107">
        <f>+L39+J39+H39+F39</f>
        <v>0</v>
      </c>
      <c r="O39" s="107">
        <f>+M39+K39+I39+G39</f>
        <v>0</v>
      </c>
      <c r="P39" s="107">
        <v>0</v>
      </c>
      <c r="Q39" s="107"/>
      <c r="R39" s="107">
        <v>0</v>
      </c>
      <c r="S39" s="107"/>
      <c r="T39" s="107"/>
      <c r="U39" s="107"/>
      <c r="V39" s="107">
        <f>B39</f>
        <v>889365.25</v>
      </c>
      <c r="W39" s="128"/>
      <c r="X39" s="107">
        <f>+P39+R39+T39+V39</f>
        <v>889365.25</v>
      </c>
      <c r="Y39" s="107">
        <f>+Q39+S39+U39+W39</f>
        <v>0</v>
      </c>
      <c r="Z39" s="107"/>
      <c r="AA39" s="107"/>
      <c r="AB39" s="107"/>
      <c r="AC39" s="107"/>
      <c r="AD39" s="107"/>
      <c r="AE39" s="107"/>
      <c r="AF39" s="107"/>
      <c r="AG39" s="128"/>
      <c r="AH39" s="107">
        <f>+Z39+AB39+AD39+AF39</f>
        <v>0</v>
      </c>
      <c r="AI39" s="107">
        <f>+AA39+AC39+AE39+AG39</f>
        <v>0</v>
      </c>
      <c r="AJ39" s="107"/>
      <c r="AK39" s="107"/>
      <c r="AL39" s="107"/>
      <c r="AM39" s="107"/>
      <c r="AN39" s="107"/>
      <c r="AO39" s="107"/>
      <c r="AP39" s="107"/>
      <c r="AQ39" s="128"/>
      <c r="AR39" s="107">
        <f>+AJ39+AL39+AN39+AP39</f>
        <v>0</v>
      </c>
      <c r="AS39" s="107">
        <f>+AK39+AM39+AO39+AQ39</f>
        <v>0</v>
      </c>
      <c r="AT39" s="107"/>
      <c r="AU39" s="107"/>
      <c r="AV39" s="107"/>
      <c r="AW39" s="107"/>
      <c r="AX39" s="107"/>
      <c r="AY39" s="107"/>
      <c r="AZ39" s="107"/>
      <c r="BA39" s="128"/>
      <c r="BB39" s="107">
        <f>+AZ39+AX39+AV39+AT39</f>
        <v>0</v>
      </c>
      <c r="BC39" s="107">
        <f>+BA39+AY39+AW39+AU39</f>
        <v>0</v>
      </c>
      <c r="BD39" s="107">
        <f t="shared" si="22"/>
        <v>889365.25</v>
      </c>
      <c r="BE39" s="107">
        <f t="shared" si="22"/>
        <v>0</v>
      </c>
      <c r="BF39" s="107">
        <f t="shared" si="20"/>
        <v>889365.25</v>
      </c>
    </row>
    <row r="40" spans="1:58" x14ac:dyDescent="0.25">
      <c r="A40" s="115" t="s">
        <v>114</v>
      </c>
      <c r="B40" s="119">
        <v>1328874.4099999999</v>
      </c>
      <c r="C40" s="119">
        <v>0</v>
      </c>
      <c r="D40" s="106">
        <f t="shared" si="21"/>
        <v>1328874.4099999999</v>
      </c>
      <c r="F40" s="107"/>
      <c r="G40" s="107"/>
      <c r="H40" s="107"/>
      <c r="I40" s="107"/>
      <c r="J40" s="107"/>
      <c r="K40" s="107"/>
      <c r="L40" s="107"/>
      <c r="M40" s="107"/>
      <c r="N40" s="108"/>
      <c r="O40" s="108"/>
      <c r="P40" s="107"/>
      <c r="Q40" s="107"/>
      <c r="R40" s="107"/>
      <c r="S40" s="107"/>
      <c r="T40" s="107"/>
      <c r="U40" s="107"/>
      <c r="V40" s="107"/>
      <c r="W40" s="107"/>
      <c r="X40" s="108"/>
      <c r="Y40" s="108"/>
      <c r="Z40" s="107"/>
      <c r="AA40" s="107"/>
      <c r="AB40" s="107">
        <f>B40</f>
        <v>1328874.4099999999</v>
      </c>
      <c r="AC40" s="107"/>
      <c r="AD40" s="107"/>
      <c r="AE40" s="107"/>
      <c r="AF40" s="107"/>
      <c r="AG40" s="107"/>
      <c r="AH40" s="108">
        <f>+Z40+AB40+AD40+AF40</f>
        <v>1328874.4099999999</v>
      </c>
      <c r="AI40" s="108">
        <f>+AA40+AC40+AE40+AG40</f>
        <v>0</v>
      </c>
      <c r="AJ40" s="107"/>
      <c r="AK40" s="107"/>
      <c r="AL40" s="107"/>
      <c r="AM40" s="107"/>
      <c r="AN40" s="107"/>
      <c r="AO40" s="107"/>
      <c r="AP40" s="107"/>
      <c r="AQ40" s="107"/>
      <c r="AR40" s="108">
        <f>+AJ40+AL40+AN40+AP40</f>
        <v>0</v>
      </c>
      <c r="AS40" s="108">
        <f>+AK40+AM40+AO40+AQ40</f>
        <v>0</v>
      </c>
      <c r="AT40" s="107"/>
      <c r="AU40" s="107"/>
      <c r="AV40" s="107"/>
      <c r="AW40" s="107"/>
      <c r="AX40" s="107"/>
      <c r="AY40" s="107"/>
      <c r="AZ40" s="107"/>
      <c r="BA40" s="107"/>
      <c r="BB40" s="108">
        <f>+AZ40+AX40+AV40+AT40</f>
        <v>0</v>
      </c>
      <c r="BC40" s="108">
        <f>+BA40+AY40+AW40+AU40</f>
        <v>0</v>
      </c>
      <c r="BD40" s="108">
        <f t="shared" si="22"/>
        <v>1328874.4099999999</v>
      </c>
      <c r="BE40" s="108">
        <f t="shared" si="22"/>
        <v>0</v>
      </c>
      <c r="BF40" s="107">
        <f t="shared" si="20"/>
        <v>1328874.4099999999</v>
      </c>
    </row>
    <row r="41" spans="1:58" x14ac:dyDescent="0.25">
      <c r="A41" s="142" t="s">
        <v>115</v>
      </c>
      <c r="B41" s="119"/>
      <c r="C41" s="114">
        <v>413572.17</v>
      </c>
      <c r="D41" s="113">
        <f>B41+C41</f>
        <v>413572.17</v>
      </c>
      <c r="F41" s="107"/>
      <c r="G41" s="107"/>
      <c r="H41" s="107"/>
      <c r="I41" s="107"/>
      <c r="J41" s="107"/>
      <c r="K41" s="107"/>
      <c r="L41" s="107"/>
      <c r="M41" s="107"/>
      <c r="N41" s="108"/>
      <c r="O41" s="143">
        <f>C41</f>
        <v>413572.17</v>
      </c>
      <c r="P41" s="107"/>
      <c r="Q41" s="107"/>
      <c r="R41" s="107"/>
      <c r="S41" s="107"/>
      <c r="T41" s="107"/>
      <c r="U41" s="107"/>
      <c r="V41" s="107"/>
      <c r="W41" s="107"/>
      <c r="X41" s="108"/>
      <c r="Y41" s="108"/>
      <c r="Z41" s="107"/>
      <c r="AA41" s="107"/>
      <c r="AB41" s="107"/>
      <c r="AC41" s="107"/>
      <c r="AD41" s="107"/>
      <c r="AE41" s="107"/>
      <c r="AF41" s="107"/>
      <c r="AG41" s="107"/>
      <c r="AH41" s="108"/>
      <c r="AI41" s="108"/>
      <c r="AJ41" s="107"/>
      <c r="AK41" s="107"/>
      <c r="AL41" s="107"/>
      <c r="AM41" s="107"/>
      <c r="AN41" s="107"/>
      <c r="AO41" s="107"/>
      <c r="AP41" s="107"/>
      <c r="AQ41" s="107"/>
      <c r="AR41" s="108"/>
      <c r="AS41" s="108"/>
      <c r="AT41" s="107"/>
      <c r="AU41" s="107"/>
      <c r="AV41" s="107"/>
      <c r="AW41" s="107"/>
      <c r="AX41" s="107"/>
      <c r="AY41" s="107"/>
      <c r="AZ41" s="107"/>
      <c r="BA41" s="107"/>
      <c r="BB41" s="108"/>
      <c r="BC41" s="108"/>
      <c r="BD41" s="108"/>
      <c r="BE41" s="108">
        <f>C41</f>
        <v>413572.17</v>
      </c>
      <c r="BF41" s="107">
        <f t="shared" si="20"/>
        <v>413572.17</v>
      </c>
    </row>
    <row r="42" spans="1:58" x14ac:dyDescent="0.25">
      <c r="A42" s="115" t="s">
        <v>116</v>
      </c>
      <c r="B42" s="119">
        <v>5697644.4699999997</v>
      </c>
      <c r="C42" s="119">
        <v>0</v>
      </c>
      <c r="D42" s="106">
        <f t="shared" si="21"/>
        <v>5697644.4699999997</v>
      </c>
      <c r="F42" s="107"/>
      <c r="G42" s="107"/>
      <c r="H42" s="107"/>
      <c r="I42" s="107"/>
      <c r="J42" s="107"/>
      <c r="K42" s="107"/>
      <c r="L42" s="107"/>
      <c r="M42" s="107"/>
      <c r="N42" s="108">
        <f>+L42+J42+F42+H42</f>
        <v>0</v>
      </c>
      <c r="O42" s="108">
        <f>+M42+K42+G42+I42</f>
        <v>0</v>
      </c>
      <c r="P42" s="109"/>
      <c r="Q42" s="107"/>
      <c r="R42" s="109"/>
      <c r="S42" s="107"/>
      <c r="T42" s="109"/>
      <c r="U42" s="107"/>
      <c r="V42" s="107">
        <f>B42</f>
        <v>5697644.4699999997</v>
      </c>
      <c r="W42" s="109"/>
      <c r="X42" s="108">
        <f>V42</f>
        <v>5697644.4699999997</v>
      </c>
      <c r="Y42" s="108"/>
      <c r="Z42" s="109"/>
      <c r="AA42" s="109"/>
      <c r="AB42" s="109"/>
      <c r="AC42" s="109"/>
      <c r="AD42" s="109"/>
      <c r="AE42" s="109"/>
      <c r="AF42" s="109"/>
      <c r="AG42" s="109"/>
      <c r="AH42" s="108"/>
      <c r="AI42" s="108"/>
      <c r="AJ42" s="109"/>
      <c r="AK42" s="109"/>
      <c r="AL42" s="109"/>
      <c r="AM42" s="109"/>
      <c r="AN42" s="109"/>
      <c r="AO42" s="109"/>
      <c r="AP42" s="109"/>
      <c r="AQ42" s="109"/>
      <c r="AR42" s="108"/>
      <c r="AS42" s="108"/>
      <c r="AT42" s="109"/>
      <c r="AU42" s="109"/>
      <c r="AV42" s="109"/>
      <c r="AW42" s="109"/>
      <c r="AX42" s="109"/>
      <c r="AY42" s="109"/>
      <c r="AZ42" s="109"/>
      <c r="BA42" s="109"/>
      <c r="BB42" s="108">
        <f>+AZ42+AX42+AT42+AV42</f>
        <v>0</v>
      </c>
      <c r="BC42" s="108">
        <f>+BA42+AY42+AU42+AW42</f>
        <v>0</v>
      </c>
      <c r="BD42" s="108">
        <f>+BB42+AR42+AH42+X42+N42</f>
        <v>5697644.4699999997</v>
      </c>
      <c r="BE42" s="108">
        <f>+BC42+AS42+AI42+Y42+O42</f>
        <v>0</v>
      </c>
      <c r="BF42" s="107">
        <f t="shared" si="20"/>
        <v>5697644.4699999997</v>
      </c>
    </row>
    <row r="43" spans="1:58" x14ac:dyDescent="0.25">
      <c r="A43" s="126" t="s">
        <v>117</v>
      </c>
      <c r="B43" s="127">
        <v>0</v>
      </c>
      <c r="C43" s="138">
        <v>2000000</v>
      </c>
      <c r="D43" s="113">
        <f t="shared" si="21"/>
        <v>2000000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1">
        <v>2000000</v>
      </c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1">
        <v>2000000</v>
      </c>
      <c r="BF43" s="107">
        <f t="shared" si="20"/>
        <v>2000000</v>
      </c>
    </row>
    <row r="44" spans="1:58" ht="24" x14ac:dyDescent="0.25">
      <c r="A44" s="144" t="s">
        <v>118</v>
      </c>
      <c r="B44" s="103">
        <f>B45+B46+B47+B48+B49+B50+B51+B52+B53+B54+B55+B56+B57+B58+B59+B60+B61+B62+B63+B64</f>
        <v>45065449.569999993</v>
      </c>
      <c r="C44" s="103">
        <f>C45+C46+C47+C48+C49+C50+C51+C52+C53+C54+C55+C56+C57+C58+C59+C60+C61+C62+C63+C64</f>
        <v>155556310.852</v>
      </c>
      <c r="D44" s="103">
        <f t="shared" si="21"/>
        <v>200621760.42199999</v>
      </c>
      <c r="F44" s="145">
        <f>SUM(F45:F64)</f>
        <v>0</v>
      </c>
      <c r="G44" s="145">
        <f t="shared" ref="G44:BF44" si="23">SUM(G45:G64)</f>
        <v>9397208.0999999996</v>
      </c>
      <c r="H44" s="145">
        <f t="shared" si="23"/>
        <v>0</v>
      </c>
      <c r="I44" s="145">
        <f t="shared" si="23"/>
        <v>917799.98499999999</v>
      </c>
      <c r="J44" s="145">
        <f t="shared" si="23"/>
        <v>0</v>
      </c>
      <c r="K44" s="145">
        <f t="shared" si="23"/>
        <v>0</v>
      </c>
      <c r="L44" s="145">
        <f t="shared" si="23"/>
        <v>0</v>
      </c>
      <c r="M44" s="145">
        <f t="shared" si="23"/>
        <v>0</v>
      </c>
      <c r="N44" s="145">
        <f t="shared" si="23"/>
        <v>36724242</v>
      </c>
      <c r="O44" s="145">
        <f t="shared" si="23"/>
        <v>34651407.571999997</v>
      </c>
      <c r="P44" s="145">
        <f t="shared" si="23"/>
        <v>0</v>
      </c>
      <c r="Q44" s="145">
        <f t="shared" si="23"/>
        <v>0</v>
      </c>
      <c r="R44" s="145">
        <f t="shared" si="23"/>
        <v>696455.08333333326</v>
      </c>
      <c r="S44" s="145">
        <f t="shared" si="23"/>
        <v>0</v>
      </c>
      <c r="T44" s="145">
        <f t="shared" si="23"/>
        <v>1473180.8973333333</v>
      </c>
      <c r="U44" s="145">
        <f t="shared" si="23"/>
        <v>0</v>
      </c>
      <c r="V44" s="145">
        <f t="shared" si="23"/>
        <v>1831927.1193333333</v>
      </c>
      <c r="W44" s="145">
        <f t="shared" si="23"/>
        <v>0</v>
      </c>
      <c r="X44" s="145">
        <f t="shared" si="23"/>
        <v>4001563.0999999996</v>
      </c>
      <c r="Y44" s="145">
        <f t="shared" si="23"/>
        <v>28894241</v>
      </c>
      <c r="Z44" s="145">
        <f t="shared" si="23"/>
        <v>1200000</v>
      </c>
      <c r="AA44" s="145">
        <f t="shared" si="23"/>
        <v>0</v>
      </c>
      <c r="AB44" s="145">
        <f t="shared" si="23"/>
        <v>1200000</v>
      </c>
      <c r="AC44" s="145">
        <f t="shared" si="23"/>
        <v>0</v>
      </c>
      <c r="AD44" s="145">
        <f t="shared" si="23"/>
        <v>1200000</v>
      </c>
      <c r="AE44" s="145">
        <f t="shared" si="23"/>
        <v>0</v>
      </c>
      <c r="AF44" s="145">
        <f t="shared" si="23"/>
        <v>739644.46999999974</v>
      </c>
      <c r="AG44" s="145">
        <f t="shared" si="23"/>
        <v>0</v>
      </c>
      <c r="AH44" s="145">
        <f t="shared" si="23"/>
        <v>4339644.47</v>
      </c>
      <c r="AI44" s="145">
        <f t="shared" si="23"/>
        <v>92010662.280000001</v>
      </c>
      <c r="AJ44" s="145">
        <f t="shared" si="23"/>
        <v>0</v>
      </c>
      <c r="AK44" s="145">
        <f t="shared" si="23"/>
        <v>0</v>
      </c>
      <c r="AL44" s="145">
        <f t="shared" si="23"/>
        <v>0</v>
      </c>
      <c r="AM44" s="145">
        <f t="shared" si="23"/>
        <v>0</v>
      </c>
      <c r="AN44" s="145">
        <f t="shared" si="23"/>
        <v>0</v>
      </c>
      <c r="AO44" s="145">
        <f t="shared" si="23"/>
        <v>0</v>
      </c>
      <c r="AP44" s="145">
        <f t="shared" si="23"/>
        <v>0</v>
      </c>
      <c r="AQ44" s="145">
        <f t="shared" si="23"/>
        <v>0</v>
      </c>
      <c r="AR44" s="145">
        <f t="shared" si="23"/>
        <v>0</v>
      </c>
      <c r="AS44" s="145">
        <f t="shared" si="23"/>
        <v>0</v>
      </c>
      <c r="AT44" s="145">
        <f t="shared" si="23"/>
        <v>0</v>
      </c>
      <c r="AU44" s="145">
        <f t="shared" si="23"/>
        <v>0</v>
      </c>
      <c r="AV44" s="145">
        <f t="shared" si="23"/>
        <v>0</v>
      </c>
      <c r="AW44" s="145">
        <f t="shared" si="23"/>
        <v>0</v>
      </c>
      <c r="AX44" s="145">
        <f t="shared" si="23"/>
        <v>0</v>
      </c>
      <c r="AY44" s="145">
        <f t="shared" si="23"/>
        <v>0</v>
      </c>
      <c r="AZ44" s="145">
        <f t="shared" si="23"/>
        <v>0</v>
      </c>
      <c r="BA44" s="145">
        <f t="shared" si="23"/>
        <v>0</v>
      </c>
      <c r="BB44" s="145">
        <f t="shared" si="23"/>
        <v>0</v>
      </c>
      <c r="BC44" s="145">
        <f t="shared" si="23"/>
        <v>0</v>
      </c>
      <c r="BD44" s="145">
        <f t="shared" si="23"/>
        <v>45065449.569999993</v>
      </c>
      <c r="BE44" s="145">
        <f t="shared" si="23"/>
        <v>155556310.852</v>
      </c>
      <c r="BF44" s="145">
        <f t="shared" si="23"/>
        <v>200621760.42199999</v>
      </c>
    </row>
    <row r="45" spans="1:58" x14ac:dyDescent="0.25">
      <c r="A45" s="104" t="s">
        <v>119</v>
      </c>
      <c r="B45" s="146">
        <v>0</v>
      </c>
      <c r="C45" s="105">
        <v>0</v>
      </c>
      <c r="D45" s="106">
        <f t="shared" si="21"/>
        <v>0</v>
      </c>
      <c r="F45" s="108"/>
      <c r="G45" s="108"/>
      <c r="H45" s="108"/>
      <c r="I45" s="108"/>
      <c r="J45" s="108"/>
      <c r="K45" s="108"/>
      <c r="L45" s="108"/>
      <c r="M45" s="108"/>
      <c r="N45" s="108">
        <f t="shared" ref="N45:O47" si="24">+L45+J45+H45+F45</f>
        <v>0</v>
      </c>
      <c r="O45" s="108">
        <f t="shared" si="24"/>
        <v>0</v>
      </c>
      <c r="P45" s="109"/>
      <c r="Q45" s="109"/>
      <c r="R45" s="109"/>
      <c r="S45" s="109"/>
      <c r="T45" s="109"/>
      <c r="U45" s="109"/>
      <c r="V45" s="109"/>
      <c r="W45" s="109"/>
      <c r="X45" s="108">
        <f>+V45+T45+R45+P45</f>
        <v>0</v>
      </c>
      <c r="Y45" s="108">
        <f>+W45+U45+S45+Q45</f>
        <v>0</v>
      </c>
      <c r="Z45" s="109"/>
      <c r="AA45" s="109"/>
      <c r="AB45" s="109"/>
      <c r="AC45" s="109"/>
      <c r="AD45" s="109"/>
      <c r="AE45" s="109"/>
      <c r="AF45" s="109"/>
      <c r="AG45" s="109"/>
      <c r="AH45" s="108">
        <f>+AF45+AD45+AB45+Z45</f>
        <v>0</v>
      </c>
      <c r="AI45" s="108">
        <f>+AG45+AE45+AC45+AA45</f>
        <v>0</v>
      </c>
      <c r="AJ45" s="109"/>
      <c r="AK45" s="109"/>
      <c r="AL45" s="109"/>
      <c r="AM45" s="109"/>
      <c r="AN45" s="109"/>
      <c r="AO45" s="109"/>
      <c r="AP45" s="109"/>
      <c r="AQ45" s="109"/>
      <c r="AR45" s="108">
        <f>+AP45+AN45+AL45+AJ45</f>
        <v>0</v>
      </c>
      <c r="AS45" s="108">
        <f>+AQ45+AO45+AM45+AK45</f>
        <v>0</v>
      </c>
      <c r="AT45" s="109"/>
      <c r="AU45" s="109"/>
      <c r="AV45" s="109"/>
      <c r="AW45" s="109"/>
      <c r="AX45" s="109"/>
      <c r="AY45" s="109"/>
      <c r="AZ45" s="109"/>
      <c r="BA45" s="109"/>
      <c r="BB45" s="108">
        <f>+AZ45+AX45+AV45+AT45</f>
        <v>0</v>
      </c>
      <c r="BC45" s="108">
        <f>+BA45+AY45+AW45+AU45</f>
        <v>0</v>
      </c>
      <c r="BD45" s="108">
        <f t="shared" ref="BD45:BE64" si="25">B45</f>
        <v>0</v>
      </c>
      <c r="BE45" s="108">
        <f t="shared" si="25"/>
        <v>0</v>
      </c>
      <c r="BF45" s="108">
        <f>+BE45+BD45</f>
        <v>0</v>
      </c>
    </row>
    <row r="46" spans="1:58" x14ac:dyDescent="0.25">
      <c r="A46" s="104" t="s">
        <v>120</v>
      </c>
      <c r="B46" s="105">
        <v>0</v>
      </c>
      <c r="C46" s="105">
        <v>0</v>
      </c>
      <c r="D46" s="106">
        <f t="shared" si="21"/>
        <v>0</v>
      </c>
      <c r="F46" s="108"/>
      <c r="G46" s="108"/>
      <c r="H46" s="108"/>
      <c r="I46" s="108"/>
      <c r="J46" s="108"/>
      <c r="K46" s="108"/>
      <c r="L46" s="108"/>
      <c r="M46" s="108"/>
      <c r="N46" s="108">
        <f t="shared" si="24"/>
        <v>0</v>
      </c>
      <c r="O46" s="108">
        <f t="shared" si="24"/>
        <v>0</v>
      </c>
      <c r="P46" s="108"/>
      <c r="Q46" s="108"/>
      <c r="R46" s="108"/>
      <c r="S46" s="108"/>
      <c r="T46" s="108"/>
      <c r="U46" s="109"/>
      <c r="V46" s="109"/>
      <c r="W46" s="109"/>
      <c r="X46" s="108"/>
      <c r="Y46" s="108"/>
      <c r="Z46" s="108"/>
      <c r="AA46" s="109"/>
      <c r="AB46" s="108"/>
      <c r="AC46" s="109"/>
      <c r="AD46" s="109"/>
      <c r="AE46" s="109"/>
      <c r="AF46" s="109"/>
      <c r="AG46" s="109"/>
      <c r="AH46" s="108"/>
      <c r="AI46" s="108"/>
      <c r="AJ46" s="109"/>
      <c r="AK46" s="109"/>
      <c r="AL46" s="109"/>
      <c r="AM46" s="109"/>
      <c r="AN46" s="109"/>
      <c r="AO46" s="109"/>
      <c r="AP46" s="109"/>
      <c r="AQ46" s="109"/>
      <c r="AR46" s="108"/>
      <c r="AS46" s="108"/>
      <c r="AT46" s="109"/>
      <c r="AU46" s="109"/>
      <c r="AV46" s="109"/>
      <c r="AW46" s="109"/>
      <c r="AX46" s="109"/>
      <c r="AY46" s="109"/>
      <c r="AZ46" s="109"/>
      <c r="BA46" s="109"/>
      <c r="BB46" s="108"/>
      <c r="BC46" s="108"/>
      <c r="BD46" s="108">
        <f t="shared" si="25"/>
        <v>0</v>
      </c>
      <c r="BE46" s="108">
        <f t="shared" si="25"/>
        <v>0</v>
      </c>
      <c r="BF46" s="108">
        <f>+BE46+BD46</f>
        <v>0</v>
      </c>
    </row>
    <row r="47" spans="1:58" ht="24" x14ac:dyDescent="0.25">
      <c r="A47" s="104" t="s">
        <v>121</v>
      </c>
      <c r="B47" s="105">
        <v>0</v>
      </c>
      <c r="C47" s="105">
        <v>0</v>
      </c>
      <c r="D47" s="106">
        <f t="shared" si="21"/>
        <v>0</v>
      </c>
      <c r="F47" s="108"/>
      <c r="G47" s="108"/>
      <c r="H47" s="108"/>
      <c r="I47" s="108"/>
      <c r="J47" s="108"/>
      <c r="K47" s="108"/>
      <c r="L47" s="108"/>
      <c r="M47" s="108"/>
      <c r="N47" s="107">
        <f t="shared" si="24"/>
        <v>0</v>
      </c>
      <c r="O47" s="107">
        <f t="shared" si="24"/>
        <v>0</v>
      </c>
      <c r="P47" s="108"/>
      <c r="Q47" s="109"/>
      <c r="R47" s="108"/>
      <c r="S47" s="109"/>
      <c r="T47" s="108"/>
      <c r="U47" s="109"/>
      <c r="V47" s="108"/>
      <c r="W47" s="109"/>
      <c r="X47" s="108"/>
      <c r="Y47" s="108"/>
      <c r="Z47" s="109"/>
      <c r="AA47" s="109"/>
      <c r="AB47" s="109"/>
      <c r="AC47" s="109"/>
      <c r="AD47" s="109"/>
      <c r="AE47" s="109"/>
      <c r="AF47" s="109"/>
      <c r="AG47" s="109"/>
      <c r="AH47" s="108"/>
      <c r="AI47" s="108"/>
      <c r="AJ47" s="109"/>
      <c r="AK47" s="109"/>
      <c r="AL47" s="109"/>
      <c r="AM47" s="109"/>
      <c r="AN47" s="109"/>
      <c r="AO47" s="109"/>
      <c r="AP47" s="109"/>
      <c r="AQ47" s="109"/>
      <c r="AR47" s="108"/>
      <c r="AS47" s="108"/>
      <c r="AT47" s="109"/>
      <c r="AU47" s="109"/>
      <c r="AV47" s="109"/>
      <c r="AW47" s="109"/>
      <c r="AX47" s="109"/>
      <c r="AY47" s="109"/>
      <c r="AZ47" s="109"/>
      <c r="BA47" s="109"/>
      <c r="BB47" s="108"/>
      <c r="BC47" s="108"/>
      <c r="BD47" s="108">
        <f t="shared" si="25"/>
        <v>0</v>
      </c>
      <c r="BE47" s="108">
        <f t="shared" si="25"/>
        <v>0</v>
      </c>
      <c r="BF47" s="107">
        <f>+BE47+BD47</f>
        <v>0</v>
      </c>
    </row>
    <row r="48" spans="1:58" x14ac:dyDescent="0.25">
      <c r="A48" s="147" t="s">
        <v>122</v>
      </c>
      <c r="B48" s="148">
        <v>14894000</v>
      </c>
      <c r="C48" s="149">
        <v>0</v>
      </c>
      <c r="D48" s="113">
        <f t="shared" si="21"/>
        <v>14894000</v>
      </c>
      <c r="F48" s="107"/>
      <c r="G48" s="107"/>
      <c r="H48" s="107"/>
      <c r="I48" s="107"/>
      <c r="J48" s="107"/>
      <c r="K48" s="107"/>
      <c r="L48" s="107"/>
      <c r="M48" s="107"/>
      <c r="N48" s="148">
        <v>14894000</v>
      </c>
      <c r="O48" s="149">
        <v>0</v>
      </c>
      <c r="P48" s="107"/>
      <c r="Q48" s="109"/>
      <c r="R48" s="107"/>
      <c r="S48" s="109"/>
      <c r="T48" s="107"/>
      <c r="U48" s="109"/>
      <c r="V48" s="109"/>
      <c r="W48" s="109"/>
      <c r="X48" s="108"/>
      <c r="Y48" s="108"/>
      <c r="Z48" s="107"/>
      <c r="AA48" s="109"/>
      <c r="AB48" s="107"/>
      <c r="AC48" s="109"/>
      <c r="AD48" s="109"/>
      <c r="AE48" s="109"/>
      <c r="AF48" s="109"/>
      <c r="AG48" s="109"/>
      <c r="AH48" s="108"/>
      <c r="AI48" s="108"/>
      <c r="AJ48" s="109"/>
      <c r="AK48" s="109"/>
      <c r="AL48" s="109"/>
      <c r="AM48" s="109"/>
      <c r="AN48" s="109"/>
      <c r="AO48" s="109"/>
      <c r="AP48" s="109"/>
      <c r="AQ48" s="109"/>
      <c r="AR48" s="108"/>
      <c r="AS48" s="108"/>
      <c r="AT48" s="109"/>
      <c r="AU48" s="109"/>
      <c r="AV48" s="109"/>
      <c r="AW48" s="109"/>
      <c r="AX48" s="109"/>
      <c r="AY48" s="109"/>
      <c r="AZ48" s="109"/>
      <c r="BA48" s="109"/>
      <c r="BB48" s="108"/>
      <c r="BC48" s="108"/>
      <c r="BD48" s="108">
        <f t="shared" si="25"/>
        <v>14894000</v>
      </c>
      <c r="BE48" s="108">
        <f t="shared" si="25"/>
        <v>0</v>
      </c>
      <c r="BF48" s="108">
        <f>+BE48+BD48</f>
        <v>14894000</v>
      </c>
    </row>
    <row r="49" spans="1:58" x14ac:dyDescent="0.25">
      <c r="A49" s="147" t="s">
        <v>123</v>
      </c>
      <c r="B49" s="148">
        <v>21830242</v>
      </c>
      <c r="C49" s="149">
        <v>15612726</v>
      </c>
      <c r="D49" s="113">
        <f t="shared" si="21"/>
        <v>37442968</v>
      </c>
      <c r="F49" s="107"/>
      <c r="G49" s="107"/>
      <c r="H49" s="107"/>
      <c r="I49" s="107"/>
      <c r="J49" s="107"/>
      <c r="K49" s="107"/>
      <c r="L49" s="107"/>
      <c r="M49" s="107"/>
      <c r="N49" s="148">
        <v>21830242</v>
      </c>
      <c r="O49" s="149">
        <v>15612726</v>
      </c>
      <c r="P49" s="107"/>
      <c r="Q49" s="109"/>
      <c r="R49" s="107"/>
      <c r="S49" s="109"/>
      <c r="T49" s="107"/>
      <c r="U49" s="109"/>
      <c r="V49" s="109"/>
      <c r="W49" s="109"/>
      <c r="X49" s="108"/>
      <c r="Y49" s="108"/>
      <c r="Z49" s="107"/>
      <c r="AA49" s="109"/>
      <c r="AB49" s="107"/>
      <c r="AC49" s="109"/>
      <c r="AD49" s="109"/>
      <c r="AE49" s="109"/>
      <c r="AF49" s="109"/>
      <c r="AG49" s="109"/>
      <c r="AH49" s="108"/>
      <c r="AI49" s="108"/>
      <c r="AJ49" s="109"/>
      <c r="AK49" s="109"/>
      <c r="AL49" s="109"/>
      <c r="AM49" s="109"/>
      <c r="AN49" s="109"/>
      <c r="AO49" s="109"/>
      <c r="AP49" s="109"/>
      <c r="AQ49" s="109"/>
      <c r="AR49" s="108"/>
      <c r="AS49" s="108"/>
      <c r="AT49" s="109"/>
      <c r="AU49" s="109"/>
      <c r="AV49" s="109"/>
      <c r="AW49" s="109"/>
      <c r="AX49" s="109"/>
      <c r="AY49" s="109"/>
      <c r="AZ49" s="109"/>
      <c r="BA49" s="109"/>
      <c r="BB49" s="108"/>
      <c r="BC49" s="108"/>
      <c r="BD49" s="108">
        <f t="shared" si="25"/>
        <v>21830242</v>
      </c>
      <c r="BE49" s="108">
        <f t="shared" si="25"/>
        <v>15612726</v>
      </c>
      <c r="BF49" s="108">
        <f>+BE49+BD49</f>
        <v>37442968</v>
      </c>
    </row>
    <row r="50" spans="1:58" x14ac:dyDescent="0.25">
      <c r="A50" s="150" t="s">
        <v>124</v>
      </c>
      <c r="B50" s="105">
        <v>0</v>
      </c>
      <c r="C50" s="105"/>
      <c r="D50" s="106">
        <f t="shared" si="21"/>
        <v>0</v>
      </c>
      <c r="F50" s="108"/>
      <c r="G50" s="108"/>
      <c r="H50" s="108"/>
      <c r="I50" s="108">
        <v>0</v>
      </c>
      <c r="J50" s="108"/>
      <c r="K50" s="108">
        <v>0</v>
      </c>
      <c r="L50" s="108"/>
      <c r="M50" s="108">
        <v>0</v>
      </c>
      <c r="N50" s="108">
        <f t="shared" ref="N50:O50" si="26">+L50+J50+H50+F50</f>
        <v>0</v>
      </c>
      <c r="O50" s="108">
        <f t="shared" si="26"/>
        <v>0</v>
      </c>
      <c r="P50" s="109">
        <v>0</v>
      </c>
      <c r="Q50" s="109">
        <v>0</v>
      </c>
      <c r="R50" s="109"/>
      <c r="S50" s="109">
        <v>0</v>
      </c>
      <c r="T50" s="109"/>
      <c r="U50" s="109">
        <v>0</v>
      </c>
      <c r="V50" s="109"/>
      <c r="W50" s="109">
        <v>0</v>
      </c>
      <c r="X50" s="108">
        <f t="shared" ref="X50:Y50" si="27">+V50+T50+R50+P50</f>
        <v>0</v>
      </c>
      <c r="Y50" s="108">
        <f t="shared" si="27"/>
        <v>0</v>
      </c>
      <c r="Z50" s="109"/>
      <c r="AA50" s="109">
        <v>0</v>
      </c>
      <c r="AB50" s="109"/>
      <c r="AC50" s="109">
        <v>0</v>
      </c>
      <c r="AD50" s="109"/>
      <c r="AE50" s="109">
        <v>0</v>
      </c>
      <c r="AF50" s="109"/>
      <c r="AG50" s="109">
        <v>0</v>
      </c>
      <c r="AH50" s="108">
        <f>+Z50+AB50+AD50+AF50</f>
        <v>0</v>
      </c>
      <c r="AI50" s="108">
        <f>+AA50+AC50+AE50+AG50</f>
        <v>0</v>
      </c>
      <c r="AJ50" s="109"/>
      <c r="AK50" s="109">
        <v>0</v>
      </c>
      <c r="AL50" s="109"/>
      <c r="AM50" s="109">
        <v>0</v>
      </c>
      <c r="AN50" s="109"/>
      <c r="AO50" s="109"/>
      <c r="AP50" s="109"/>
      <c r="AQ50" s="109"/>
      <c r="AR50" s="108">
        <f>+AJ50+AL50+AN50+AP50</f>
        <v>0</v>
      </c>
      <c r="AS50" s="108">
        <f>+AK50+AM50+AO50+AQ50</f>
        <v>0</v>
      </c>
      <c r="AT50" s="109"/>
      <c r="AU50" s="109"/>
      <c r="AV50" s="109"/>
      <c r="AW50" s="109"/>
      <c r="AX50" s="109"/>
      <c r="AY50" s="109"/>
      <c r="AZ50" s="109"/>
      <c r="BA50" s="109"/>
      <c r="BB50" s="108">
        <f t="shared" ref="BB50:BC50" si="28">+AZ50+AX50+AV50+AT50</f>
        <v>0</v>
      </c>
      <c r="BC50" s="108">
        <f t="shared" si="28"/>
        <v>0</v>
      </c>
      <c r="BD50" s="108">
        <f t="shared" si="25"/>
        <v>0</v>
      </c>
      <c r="BE50" s="108">
        <f t="shared" si="25"/>
        <v>0</v>
      </c>
      <c r="BF50" s="108">
        <f t="shared" ref="BF50" si="29">+BE50+BD50</f>
        <v>0</v>
      </c>
    </row>
    <row r="51" spans="1:58" ht="36" x14ac:dyDescent="0.25">
      <c r="A51" s="115" t="s">
        <v>125</v>
      </c>
      <c r="B51" s="151">
        <v>0</v>
      </c>
      <c r="C51" s="112">
        <v>6157021.0999999996</v>
      </c>
      <c r="D51" s="113">
        <f t="shared" si="21"/>
        <v>6157021.0999999996</v>
      </c>
      <c r="F51" s="107"/>
      <c r="G51" s="107">
        <f>C51</f>
        <v>6157021.0999999996</v>
      </c>
      <c r="H51" s="107"/>
      <c r="I51" s="107"/>
      <c r="J51" s="107"/>
      <c r="K51" s="107"/>
      <c r="L51" s="107"/>
      <c r="M51" s="107"/>
      <c r="N51" s="107">
        <f>+L51+J51+H51+F51</f>
        <v>0</v>
      </c>
      <c r="O51" s="107">
        <f>+M51+K51+I51+G51</f>
        <v>6157021.0999999996</v>
      </c>
      <c r="P51" s="107"/>
      <c r="Q51" s="109"/>
      <c r="R51" s="107"/>
      <c r="S51" s="109"/>
      <c r="T51" s="107"/>
      <c r="U51" s="109"/>
      <c r="V51" s="109"/>
      <c r="W51" s="109"/>
      <c r="X51" s="108"/>
      <c r="Y51" s="108"/>
      <c r="Z51" s="107"/>
      <c r="AA51" s="109"/>
      <c r="AB51" s="107"/>
      <c r="AC51" s="109"/>
      <c r="AD51" s="109"/>
      <c r="AE51" s="109"/>
      <c r="AF51" s="109"/>
      <c r="AG51" s="109"/>
      <c r="AH51" s="108"/>
      <c r="AI51" s="108"/>
      <c r="AJ51" s="109"/>
      <c r="AK51" s="109"/>
      <c r="AL51" s="109"/>
      <c r="AM51" s="109"/>
      <c r="AN51" s="109"/>
      <c r="AO51" s="109"/>
      <c r="AP51" s="109"/>
      <c r="AQ51" s="109"/>
      <c r="AR51" s="108"/>
      <c r="AS51" s="108"/>
      <c r="AT51" s="109"/>
      <c r="AU51" s="109"/>
      <c r="AV51" s="109"/>
      <c r="AW51" s="109"/>
      <c r="AX51" s="109"/>
      <c r="AY51" s="109"/>
      <c r="AZ51" s="109"/>
      <c r="BA51" s="109"/>
      <c r="BB51" s="108"/>
      <c r="BC51" s="108"/>
      <c r="BD51" s="108">
        <f t="shared" si="25"/>
        <v>0</v>
      </c>
      <c r="BE51" s="108">
        <f t="shared" si="25"/>
        <v>6157021.0999999996</v>
      </c>
      <c r="BF51" s="108">
        <f>+BE51+BD51</f>
        <v>6157021.0999999996</v>
      </c>
    </row>
    <row r="52" spans="1:58" x14ac:dyDescent="0.25">
      <c r="A52" s="152" t="s">
        <v>126</v>
      </c>
      <c r="B52" s="127">
        <v>0</v>
      </c>
      <c r="C52" s="127">
        <v>3640847.5520000006</v>
      </c>
      <c r="D52" s="106">
        <f t="shared" si="21"/>
        <v>3640847.5520000006</v>
      </c>
      <c r="F52" s="124"/>
      <c r="G52" s="107"/>
      <c r="H52" s="124"/>
      <c r="I52" s="107"/>
      <c r="J52" s="124"/>
      <c r="K52" s="124"/>
      <c r="L52" s="124"/>
      <c r="M52" s="124"/>
      <c r="N52" s="107"/>
      <c r="O52" s="127">
        <v>3640847.5520000006</v>
      </c>
      <c r="P52" s="129"/>
      <c r="Q52" s="129"/>
      <c r="R52" s="129"/>
      <c r="S52" s="129"/>
      <c r="T52" s="129"/>
      <c r="U52" s="129"/>
      <c r="V52" s="129"/>
      <c r="W52" s="129"/>
      <c r="X52" s="107"/>
      <c r="Y52" s="107"/>
      <c r="Z52" s="129"/>
      <c r="AA52" s="129"/>
      <c r="AB52" s="129"/>
      <c r="AC52" s="129"/>
      <c r="AD52" s="129"/>
      <c r="AE52" s="129"/>
      <c r="AF52" s="129"/>
      <c r="AG52" s="129"/>
      <c r="AH52" s="107"/>
      <c r="AI52" s="107"/>
      <c r="AJ52" s="129"/>
      <c r="AK52" s="129"/>
      <c r="AL52" s="129"/>
      <c r="AM52" s="129"/>
      <c r="AN52" s="129"/>
      <c r="AO52" s="129"/>
      <c r="AP52" s="129"/>
      <c r="AQ52" s="129"/>
      <c r="AR52" s="107"/>
      <c r="AS52" s="107"/>
      <c r="AT52" s="129"/>
      <c r="AU52" s="129"/>
      <c r="AV52" s="129"/>
      <c r="AW52" s="129"/>
      <c r="AX52" s="129"/>
      <c r="AY52" s="129"/>
      <c r="AZ52" s="129"/>
      <c r="BA52" s="129"/>
      <c r="BB52" s="107"/>
      <c r="BC52" s="107"/>
      <c r="BD52" s="108">
        <f t="shared" si="25"/>
        <v>0</v>
      </c>
      <c r="BE52" s="108">
        <f t="shared" si="25"/>
        <v>3640847.5520000006</v>
      </c>
      <c r="BF52" s="107">
        <f t="shared" ref="BF52:BF61" si="30">+BE52+BD52</f>
        <v>3640847.5520000006</v>
      </c>
    </row>
    <row r="53" spans="1:58" x14ac:dyDescent="0.25">
      <c r="A53" s="152" t="s">
        <v>127</v>
      </c>
      <c r="B53" s="127">
        <v>0</v>
      </c>
      <c r="C53" s="127">
        <v>57788482</v>
      </c>
      <c r="D53" s="106">
        <f t="shared" si="21"/>
        <v>57788482</v>
      </c>
      <c r="F53" s="124"/>
      <c r="G53" s="107"/>
      <c r="H53" s="124"/>
      <c r="I53" s="107"/>
      <c r="J53" s="124"/>
      <c r="K53" s="124"/>
      <c r="L53" s="124"/>
      <c r="M53" s="124"/>
      <c r="N53" s="107"/>
      <c r="O53" s="127"/>
      <c r="P53" s="129"/>
      <c r="Q53" s="129"/>
      <c r="R53" s="129"/>
      <c r="S53" s="129"/>
      <c r="T53" s="129"/>
      <c r="U53" s="129"/>
      <c r="V53" s="129"/>
      <c r="W53" s="129"/>
      <c r="X53" s="107"/>
      <c r="Y53" s="153">
        <f>C53/2</f>
        <v>28894241</v>
      </c>
      <c r="Z53" s="129"/>
      <c r="AA53" s="129"/>
      <c r="AB53" s="129"/>
      <c r="AC53" s="129"/>
      <c r="AD53" s="129"/>
      <c r="AE53" s="129"/>
      <c r="AF53" s="129"/>
      <c r="AG53" s="129"/>
      <c r="AH53" s="107"/>
      <c r="AI53" s="153">
        <f>C53-Y53</f>
        <v>28894241</v>
      </c>
      <c r="AJ53" s="129"/>
      <c r="AK53" s="129"/>
      <c r="AL53" s="129"/>
      <c r="AM53" s="129"/>
      <c r="AN53" s="129"/>
      <c r="AO53" s="129"/>
      <c r="AP53" s="129"/>
      <c r="AQ53" s="129"/>
      <c r="AR53" s="107"/>
      <c r="AS53" s="107"/>
      <c r="AT53" s="129"/>
      <c r="AU53" s="129"/>
      <c r="AV53" s="129"/>
      <c r="AW53" s="129"/>
      <c r="AX53" s="129"/>
      <c r="AY53" s="129"/>
      <c r="AZ53" s="129"/>
      <c r="BA53" s="129"/>
      <c r="BB53" s="107"/>
      <c r="BC53" s="107"/>
      <c r="BD53" s="108">
        <f t="shared" si="25"/>
        <v>0</v>
      </c>
      <c r="BE53" s="108">
        <f t="shared" si="25"/>
        <v>57788482</v>
      </c>
      <c r="BF53" s="107">
        <f t="shared" si="30"/>
        <v>57788482</v>
      </c>
    </row>
    <row r="54" spans="1:58" x14ac:dyDescent="0.25">
      <c r="A54" s="152" t="s">
        <v>128</v>
      </c>
      <c r="B54" s="127">
        <v>0</v>
      </c>
      <c r="C54" s="127">
        <v>1442863.2640000002</v>
      </c>
      <c r="D54" s="106">
        <f t="shared" si="21"/>
        <v>1442863.2640000002</v>
      </c>
      <c r="F54" s="124"/>
      <c r="G54" s="107"/>
      <c r="H54" s="124"/>
      <c r="I54" s="107"/>
      <c r="J54" s="124"/>
      <c r="K54" s="124"/>
      <c r="L54" s="124"/>
      <c r="M54" s="124"/>
      <c r="N54" s="107"/>
      <c r="O54" s="127">
        <v>1442863.2640000002</v>
      </c>
      <c r="P54" s="129"/>
      <c r="Q54" s="129"/>
      <c r="R54" s="129"/>
      <c r="S54" s="129"/>
      <c r="T54" s="129"/>
      <c r="U54" s="129"/>
      <c r="V54" s="129"/>
      <c r="W54" s="129"/>
      <c r="X54" s="107"/>
      <c r="Y54" s="107"/>
      <c r="Z54" s="129"/>
      <c r="AA54" s="129"/>
      <c r="AB54" s="129"/>
      <c r="AC54" s="129"/>
      <c r="AD54" s="129"/>
      <c r="AE54" s="129"/>
      <c r="AF54" s="129"/>
      <c r="AG54" s="129"/>
      <c r="AH54" s="107"/>
      <c r="AI54" s="107"/>
      <c r="AJ54" s="129"/>
      <c r="AK54" s="129"/>
      <c r="AL54" s="129"/>
      <c r="AM54" s="129"/>
      <c r="AN54" s="129"/>
      <c r="AO54" s="129"/>
      <c r="AP54" s="129"/>
      <c r="AQ54" s="129"/>
      <c r="AR54" s="107"/>
      <c r="AS54" s="107"/>
      <c r="AT54" s="129"/>
      <c r="AU54" s="129"/>
      <c r="AV54" s="129"/>
      <c r="AW54" s="129"/>
      <c r="AX54" s="129"/>
      <c r="AY54" s="129"/>
      <c r="AZ54" s="129"/>
      <c r="BA54" s="129"/>
      <c r="BB54" s="107"/>
      <c r="BC54" s="107"/>
      <c r="BD54" s="108">
        <f t="shared" si="25"/>
        <v>0</v>
      </c>
      <c r="BE54" s="108">
        <f t="shared" si="25"/>
        <v>1442863.2640000002</v>
      </c>
      <c r="BF54" s="107">
        <f t="shared" si="30"/>
        <v>1442863.2640000002</v>
      </c>
    </row>
    <row r="55" spans="1:58" x14ac:dyDescent="0.25">
      <c r="A55" s="152" t="s">
        <v>129</v>
      </c>
      <c r="B55" s="127">
        <v>0</v>
      </c>
      <c r="C55" s="127">
        <v>724732.25600000005</v>
      </c>
      <c r="D55" s="106">
        <f t="shared" si="21"/>
        <v>724732.25600000005</v>
      </c>
      <c r="F55" s="124"/>
      <c r="G55" s="107"/>
      <c r="H55" s="124"/>
      <c r="I55" s="107"/>
      <c r="J55" s="124"/>
      <c r="K55" s="124"/>
      <c r="L55" s="124"/>
      <c r="M55" s="124"/>
      <c r="N55" s="107"/>
      <c r="O55" s="127">
        <v>724732.25600000005</v>
      </c>
      <c r="P55" s="129"/>
      <c r="Q55" s="129"/>
      <c r="R55" s="129"/>
      <c r="S55" s="129"/>
      <c r="T55" s="129"/>
      <c r="U55" s="129"/>
      <c r="V55" s="129"/>
      <c r="W55" s="129"/>
      <c r="X55" s="107"/>
      <c r="Y55" s="107"/>
      <c r="Z55" s="129"/>
      <c r="AA55" s="129"/>
      <c r="AB55" s="129"/>
      <c r="AC55" s="129"/>
      <c r="AD55" s="129"/>
      <c r="AE55" s="129"/>
      <c r="AF55" s="129"/>
      <c r="AG55" s="129"/>
      <c r="AH55" s="107"/>
      <c r="AI55" s="107"/>
      <c r="AJ55" s="129"/>
      <c r="AK55" s="129"/>
      <c r="AL55" s="129"/>
      <c r="AM55" s="129"/>
      <c r="AN55" s="129"/>
      <c r="AO55" s="129"/>
      <c r="AP55" s="129"/>
      <c r="AQ55" s="129"/>
      <c r="AR55" s="107"/>
      <c r="AS55" s="107"/>
      <c r="AT55" s="129"/>
      <c r="AU55" s="129"/>
      <c r="AV55" s="129"/>
      <c r="AW55" s="129"/>
      <c r="AX55" s="129"/>
      <c r="AY55" s="129"/>
      <c r="AZ55" s="129"/>
      <c r="BA55" s="129"/>
      <c r="BB55" s="107"/>
      <c r="BC55" s="107"/>
      <c r="BD55" s="108">
        <f t="shared" si="25"/>
        <v>0</v>
      </c>
      <c r="BE55" s="108">
        <f t="shared" si="25"/>
        <v>724732.25600000005</v>
      </c>
      <c r="BF55" s="107">
        <f t="shared" si="30"/>
        <v>724732.25600000005</v>
      </c>
    </row>
    <row r="56" spans="1:58" x14ac:dyDescent="0.25">
      <c r="A56" s="152" t="s">
        <v>130</v>
      </c>
      <c r="B56" s="127">
        <v>0</v>
      </c>
      <c r="C56" s="127">
        <v>1655042.4000000001</v>
      </c>
      <c r="D56" s="106">
        <f t="shared" si="21"/>
        <v>1655042.4000000001</v>
      </c>
      <c r="F56" s="124"/>
      <c r="G56" s="107"/>
      <c r="H56" s="124"/>
      <c r="I56" s="107"/>
      <c r="J56" s="124"/>
      <c r="K56" s="124"/>
      <c r="L56" s="124"/>
      <c r="M56" s="124"/>
      <c r="N56" s="107"/>
      <c r="O56" s="127">
        <v>1655042.4000000001</v>
      </c>
      <c r="P56" s="129"/>
      <c r="Q56" s="129"/>
      <c r="R56" s="129"/>
      <c r="S56" s="129"/>
      <c r="T56" s="129"/>
      <c r="U56" s="129"/>
      <c r="V56" s="129"/>
      <c r="W56" s="129"/>
      <c r="X56" s="107"/>
      <c r="Y56" s="107"/>
      <c r="Z56" s="129"/>
      <c r="AA56" s="129"/>
      <c r="AB56" s="129"/>
      <c r="AC56" s="129"/>
      <c r="AD56" s="129"/>
      <c r="AE56" s="129"/>
      <c r="AF56" s="129"/>
      <c r="AG56" s="129"/>
      <c r="AH56" s="107"/>
      <c r="AI56" s="107"/>
      <c r="AJ56" s="129"/>
      <c r="AK56" s="129"/>
      <c r="AL56" s="129"/>
      <c r="AM56" s="129"/>
      <c r="AN56" s="129"/>
      <c r="AO56" s="129"/>
      <c r="AP56" s="129"/>
      <c r="AQ56" s="129"/>
      <c r="AR56" s="107"/>
      <c r="AS56" s="107"/>
      <c r="AT56" s="129"/>
      <c r="AU56" s="129"/>
      <c r="AV56" s="129"/>
      <c r="AW56" s="129"/>
      <c r="AX56" s="129"/>
      <c r="AY56" s="129"/>
      <c r="AZ56" s="129"/>
      <c r="BA56" s="129"/>
      <c r="BB56" s="107"/>
      <c r="BC56" s="107"/>
      <c r="BD56" s="108">
        <f t="shared" si="25"/>
        <v>0</v>
      </c>
      <c r="BE56" s="108">
        <f t="shared" si="25"/>
        <v>1655042.4000000001</v>
      </c>
      <c r="BF56" s="107">
        <f t="shared" si="30"/>
        <v>1655042.4000000001</v>
      </c>
    </row>
    <row r="57" spans="1:58" x14ac:dyDescent="0.25">
      <c r="A57" s="126" t="s">
        <v>131</v>
      </c>
      <c r="B57" s="127">
        <v>0</v>
      </c>
      <c r="C57" s="127">
        <v>63116421.280000001</v>
      </c>
      <c r="D57" s="106">
        <f t="shared" si="21"/>
        <v>63116421.280000001</v>
      </c>
      <c r="F57" s="124"/>
      <c r="G57" s="107"/>
      <c r="H57" s="124"/>
      <c r="I57" s="107"/>
      <c r="J57" s="124"/>
      <c r="K57" s="124"/>
      <c r="L57" s="124"/>
      <c r="M57" s="124"/>
      <c r="N57" s="107"/>
      <c r="O57" s="127"/>
      <c r="P57" s="129"/>
      <c r="Q57" s="129"/>
      <c r="R57" s="129"/>
      <c r="S57" s="129"/>
      <c r="T57" s="129"/>
      <c r="U57" s="129"/>
      <c r="V57" s="129"/>
      <c r="W57" s="129"/>
      <c r="X57" s="107"/>
      <c r="Y57" s="153">
        <f>C67/2</f>
        <v>0</v>
      </c>
      <c r="Z57" s="129"/>
      <c r="AA57" s="129"/>
      <c r="AB57" s="129"/>
      <c r="AC57" s="129"/>
      <c r="AD57" s="129"/>
      <c r="AE57" s="129"/>
      <c r="AF57" s="129"/>
      <c r="AG57" s="129"/>
      <c r="AH57" s="107"/>
      <c r="AI57" s="153">
        <f>C57</f>
        <v>63116421.280000001</v>
      </c>
      <c r="AJ57" s="129"/>
      <c r="AK57" s="129"/>
      <c r="AL57" s="129"/>
      <c r="AM57" s="129"/>
      <c r="AN57" s="129"/>
      <c r="AO57" s="129"/>
      <c r="AP57" s="129"/>
      <c r="AQ57" s="129"/>
      <c r="AR57" s="107"/>
      <c r="AS57" s="107"/>
      <c r="AT57" s="129"/>
      <c r="AU57" s="129"/>
      <c r="AV57" s="129"/>
      <c r="AW57" s="129"/>
      <c r="AX57" s="129"/>
      <c r="AY57" s="129"/>
      <c r="AZ57" s="129"/>
      <c r="BA57" s="129"/>
      <c r="BB57" s="107"/>
      <c r="BC57" s="107"/>
      <c r="BD57" s="108">
        <f t="shared" si="25"/>
        <v>0</v>
      </c>
      <c r="BE57" s="108">
        <f t="shared" si="25"/>
        <v>63116421.280000001</v>
      </c>
      <c r="BF57" s="107">
        <f t="shared" si="30"/>
        <v>63116421.280000001</v>
      </c>
    </row>
    <row r="58" spans="1:58" x14ac:dyDescent="0.25">
      <c r="A58" s="154" t="s">
        <v>132</v>
      </c>
      <c r="B58" s="127">
        <v>0</v>
      </c>
      <c r="C58" s="127"/>
      <c r="D58" s="106">
        <f t="shared" si="21"/>
        <v>0</v>
      </c>
      <c r="F58" s="124"/>
      <c r="G58" s="107"/>
      <c r="H58" s="124"/>
      <c r="I58" s="107"/>
      <c r="J58" s="124"/>
      <c r="K58" s="124"/>
      <c r="L58" s="124"/>
      <c r="M58" s="124"/>
      <c r="N58" s="107"/>
      <c r="O58" s="127"/>
      <c r="P58" s="129"/>
      <c r="Q58" s="129"/>
      <c r="R58" s="129"/>
      <c r="S58" s="129"/>
      <c r="T58" s="129"/>
      <c r="U58" s="129"/>
      <c r="V58" s="129"/>
      <c r="W58" s="129"/>
      <c r="X58" s="107"/>
      <c r="Y58" s="107"/>
      <c r="Z58" s="129"/>
      <c r="AA58" s="129"/>
      <c r="AB58" s="129"/>
      <c r="AC58" s="129"/>
      <c r="AD58" s="129"/>
      <c r="AE58" s="129"/>
      <c r="AF58" s="129"/>
      <c r="AG58" s="129"/>
      <c r="AH58" s="107"/>
      <c r="AI58" s="107"/>
      <c r="AJ58" s="129"/>
      <c r="AK58" s="129"/>
      <c r="AL58" s="129"/>
      <c r="AM58" s="129"/>
      <c r="AN58" s="129"/>
      <c r="AO58" s="129"/>
      <c r="AP58" s="129"/>
      <c r="AQ58" s="129"/>
      <c r="AR58" s="107"/>
      <c r="AS58" s="107"/>
      <c r="AT58" s="129"/>
      <c r="AU58" s="129"/>
      <c r="AV58" s="129"/>
      <c r="AW58" s="129"/>
      <c r="AX58" s="129"/>
      <c r="AY58" s="129"/>
      <c r="AZ58" s="129"/>
      <c r="BA58" s="129"/>
      <c r="BB58" s="107"/>
      <c r="BC58" s="107"/>
      <c r="BD58" s="108">
        <f t="shared" si="25"/>
        <v>0</v>
      </c>
      <c r="BE58" s="108">
        <f t="shared" si="25"/>
        <v>0</v>
      </c>
      <c r="BF58" s="107">
        <f t="shared" si="30"/>
        <v>0</v>
      </c>
    </row>
    <row r="59" spans="1:58" x14ac:dyDescent="0.25">
      <c r="A59" s="155" t="s">
        <v>133</v>
      </c>
      <c r="B59" s="117">
        <v>889365.25</v>
      </c>
      <c r="C59" s="105">
        <v>0</v>
      </c>
      <c r="D59" s="106">
        <f>B59+C59</f>
        <v>889365.25</v>
      </c>
      <c r="F59" s="108"/>
      <c r="G59" s="108"/>
      <c r="H59" s="108"/>
      <c r="I59" s="108"/>
      <c r="J59" s="108"/>
      <c r="K59" s="108"/>
      <c r="L59" s="108"/>
      <c r="M59" s="108"/>
      <c r="N59" s="108">
        <f t="shared" ref="N59:O61" si="31">+L59+J59+H59+F59</f>
        <v>0</v>
      </c>
      <c r="O59" s="108">
        <f t="shared" si="31"/>
        <v>0</v>
      </c>
      <c r="P59" s="108"/>
      <c r="Q59" s="108"/>
      <c r="R59" s="156">
        <f>B59/3</f>
        <v>296455.08333333331</v>
      </c>
      <c r="S59" s="109"/>
      <c r="T59" s="156">
        <f>B59/3</f>
        <v>296455.08333333331</v>
      </c>
      <c r="U59" s="109"/>
      <c r="V59" s="156">
        <f>B59/3</f>
        <v>296455.08333333331</v>
      </c>
      <c r="W59" s="109"/>
      <c r="X59" s="108">
        <f>R59+T59+V59</f>
        <v>889365.25</v>
      </c>
      <c r="Y59" s="108">
        <f t="shared" ref="X59:Y61" si="32">+W59+U59+S59+Q59</f>
        <v>0</v>
      </c>
      <c r="Z59" s="109"/>
      <c r="AA59" s="109"/>
      <c r="AB59" s="109"/>
      <c r="AC59" s="109"/>
      <c r="AD59" s="109"/>
      <c r="AE59" s="109"/>
      <c r="AF59" s="109"/>
      <c r="AG59" s="109"/>
      <c r="AH59" s="108">
        <f t="shared" ref="AH59:AI61" si="33">+AF59+AD59+AB59+Z59</f>
        <v>0</v>
      </c>
      <c r="AI59" s="108">
        <f t="shared" si="33"/>
        <v>0</v>
      </c>
      <c r="AJ59" s="109"/>
      <c r="AK59" s="109"/>
      <c r="AL59" s="109"/>
      <c r="AM59" s="109"/>
      <c r="AN59" s="109"/>
      <c r="AO59" s="109"/>
      <c r="AP59" s="109"/>
      <c r="AQ59" s="109"/>
      <c r="AR59" s="108">
        <f t="shared" ref="AR59:AS61" si="34">+AP59+AN59+AL59+AJ59</f>
        <v>0</v>
      </c>
      <c r="AS59" s="108">
        <f t="shared" si="34"/>
        <v>0</v>
      </c>
      <c r="AT59" s="109"/>
      <c r="AU59" s="109"/>
      <c r="AV59" s="109"/>
      <c r="AW59" s="109"/>
      <c r="AX59" s="109"/>
      <c r="AY59" s="109"/>
      <c r="AZ59" s="109"/>
      <c r="BA59" s="109"/>
      <c r="BB59" s="108">
        <f t="shared" ref="BB59:BC61" si="35">+AZ59+AX59+AV59+AT59</f>
        <v>0</v>
      </c>
      <c r="BC59" s="108">
        <f t="shared" si="35"/>
        <v>0</v>
      </c>
      <c r="BD59" s="108">
        <f t="shared" si="25"/>
        <v>889365.25</v>
      </c>
      <c r="BE59" s="108">
        <f t="shared" si="25"/>
        <v>0</v>
      </c>
      <c r="BF59" s="108">
        <f t="shared" si="30"/>
        <v>889365.25</v>
      </c>
    </row>
    <row r="60" spans="1:58" x14ac:dyDescent="0.25">
      <c r="A60" s="155" t="s">
        <v>134</v>
      </c>
      <c r="B60" s="117">
        <v>425323.44</v>
      </c>
      <c r="C60" s="105">
        <v>0</v>
      </c>
      <c r="D60" s="106">
        <f>B60+C60</f>
        <v>425323.44</v>
      </c>
      <c r="F60" s="108"/>
      <c r="G60" s="108"/>
      <c r="H60" s="108"/>
      <c r="I60" s="108"/>
      <c r="J60" s="108"/>
      <c r="K60" s="108"/>
      <c r="L60" s="108"/>
      <c r="M60" s="108"/>
      <c r="N60" s="108">
        <f t="shared" si="31"/>
        <v>0</v>
      </c>
      <c r="O60" s="108">
        <f t="shared" si="31"/>
        <v>0</v>
      </c>
      <c r="P60" s="108"/>
      <c r="Q60" s="108"/>
      <c r="R60" s="108"/>
      <c r="S60" s="109"/>
      <c r="T60" s="108">
        <f>75661.8*2.23</f>
        <v>168725.81400000001</v>
      </c>
      <c r="U60" s="109"/>
      <c r="V60" s="108">
        <f>115066.2*2.23</f>
        <v>256597.62599999999</v>
      </c>
      <c r="W60" s="109"/>
      <c r="X60" s="108">
        <f t="shared" si="32"/>
        <v>425323.44</v>
      </c>
      <c r="Y60" s="108">
        <f t="shared" si="32"/>
        <v>0</v>
      </c>
      <c r="Z60" s="109"/>
      <c r="AA60" s="109"/>
      <c r="AB60" s="109"/>
      <c r="AC60" s="109"/>
      <c r="AD60" s="109"/>
      <c r="AE60" s="109"/>
      <c r="AF60" s="109"/>
      <c r="AG60" s="109"/>
      <c r="AH60" s="108">
        <f t="shared" si="33"/>
        <v>0</v>
      </c>
      <c r="AI60" s="108">
        <f t="shared" si="33"/>
        <v>0</v>
      </c>
      <c r="AJ60" s="109"/>
      <c r="AK60" s="109"/>
      <c r="AL60" s="109"/>
      <c r="AM60" s="109"/>
      <c r="AN60" s="109"/>
      <c r="AO60" s="109"/>
      <c r="AP60" s="109"/>
      <c r="AQ60" s="109"/>
      <c r="AR60" s="108">
        <f t="shared" si="34"/>
        <v>0</v>
      </c>
      <c r="AS60" s="108">
        <f t="shared" si="34"/>
        <v>0</v>
      </c>
      <c r="AT60" s="109"/>
      <c r="AU60" s="109"/>
      <c r="AV60" s="109"/>
      <c r="AW60" s="109"/>
      <c r="AX60" s="109"/>
      <c r="AY60" s="109"/>
      <c r="AZ60" s="109"/>
      <c r="BA60" s="109"/>
      <c r="BB60" s="108">
        <f t="shared" si="35"/>
        <v>0</v>
      </c>
      <c r="BC60" s="108">
        <f t="shared" si="35"/>
        <v>0</v>
      </c>
      <c r="BD60" s="108">
        <f t="shared" si="25"/>
        <v>425323.44</v>
      </c>
      <c r="BE60" s="108">
        <f t="shared" si="25"/>
        <v>0</v>
      </c>
      <c r="BF60" s="108">
        <f t="shared" si="30"/>
        <v>425323.44</v>
      </c>
    </row>
    <row r="61" spans="1:58" x14ac:dyDescent="0.25">
      <c r="A61" s="157" t="s">
        <v>135</v>
      </c>
      <c r="B61" s="117">
        <v>1328874.4099999999</v>
      </c>
      <c r="C61" s="105">
        <v>0</v>
      </c>
      <c r="D61" s="106">
        <f>B61+C61</f>
        <v>1328874.4099999999</v>
      </c>
      <c r="F61" s="107"/>
      <c r="G61" s="107"/>
      <c r="H61" s="107"/>
      <c r="I61" s="107">
        <v>0</v>
      </c>
      <c r="J61" s="107"/>
      <c r="K61" s="107"/>
      <c r="L61" s="107"/>
      <c r="M61" s="107"/>
      <c r="N61" s="108">
        <f t="shared" si="31"/>
        <v>0</v>
      </c>
      <c r="O61" s="108">
        <f t="shared" si="31"/>
        <v>0</v>
      </c>
      <c r="P61" s="107"/>
      <c r="Q61" s="107"/>
      <c r="R61" s="107">
        <v>400000</v>
      </c>
      <c r="S61" s="109"/>
      <c r="T61" s="107">
        <v>450000</v>
      </c>
      <c r="U61" s="109"/>
      <c r="V61" s="107">
        <v>478874.40999999992</v>
      </c>
      <c r="W61" s="109"/>
      <c r="X61" s="108">
        <f t="shared" si="32"/>
        <v>1328874.4099999999</v>
      </c>
      <c r="Y61" s="108">
        <f t="shared" si="32"/>
        <v>0</v>
      </c>
      <c r="Z61" s="109"/>
      <c r="AA61" s="109"/>
      <c r="AB61" s="109"/>
      <c r="AC61" s="109"/>
      <c r="AD61" s="109"/>
      <c r="AE61" s="109"/>
      <c r="AF61" s="109"/>
      <c r="AG61" s="109"/>
      <c r="AH61" s="108">
        <f t="shared" si="33"/>
        <v>0</v>
      </c>
      <c r="AI61" s="108">
        <f t="shared" si="33"/>
        <v>0</v>
      </c>
      <c r="AJ61" s="109"/>
      <c r="AK61" s="109"/>
      <c r="AL61" s="109"/>
      <c r="AM61" s="109"/>
      <c r="AN61" s="109"/>
      <c r="AO61" s="109"/>
      <c r="AP61" s="109"/>
      <c r="AQ61" s="109"/>
      <c r="AR61" s="108">
        <f t="shared" si="34"/>
        <v>0</v>
      </c>
      <c r="AS61" s="108">
        <f t="shared" si="34"/>
        <v>0</v>
      </c>
      <c r="AT61" s="109"/>
      <c r="AU61" s="109"/>
      <c r="AV61" s="109"/>
      <c r="AW61" s="109"/>
      <c r="AX61" s="109"/>
      <c r="AY61" s="109"/>
      <c r="AZ61" s="109"/>
      <c r="BA61" s="109"/>
      <c r="BB61" s="108">
        <f t="shared" si="35"/>
        <v>0</v>
      </c>
      <c r="BC61" s="108">
        <f t="shared" si="35"/>
        <v>0</v>
      </c>
      <c r="BD61" s="108">
        <f t="shared" si="25"/>
        <v>1328874.4099999999</v>
      </c>
      <c r="BE61" s="108">
        <f t="shared" si="25"/>
        <v>0</v>
      </c>
      <c r="BF61" s="108">
        <f t="shared" si="30"/>
        <v>1328874.4099999999</v>
      </c>
    </row>
    <row r="62" spans="1:58" x14ac:dyDescent="0.25">
      <c r="A62" s="155" t="s">
        <v>136</v>
      </c>
      <c r="B62" s="117">
        <v>5697644.4699999997</v>
      </c>
      <c r="C62" s="119">
        <v>0</v>
      </c>
      <c r="D62" s="106">
        <f>B62+C62</f>
        <v>5697644.4699999997</v>
      </c>
      <c r="F62" s="108"/>
      <c r="G62" s="108"/>
      <c r="H62" s="108"/>
      <c r="I62" s="108"/>
      <c r="J62" s="108"/>
      <c r="K62" s="108"/>
      <c r="L62" s="108"/>
      <c r="M62" s="108"/>
      <c r="N62" s="108">
        <v>0</v>
      </c>
      <c r="O62" s="108">
        <v>0</v>
      </c>
      <c r="P62" s="109">
        <v>0</v>
      </c>
      <c r="Q62" s="109"/>
      <c r="R62" s="109">
        <v>0</v>
      </c>
      <c r="S62" s="109"/>
      <c r="T62" s="109">
        <v>558000</v>
      </c>
      <c r="U62" s="109"/>
      <c r="V62" s="109">
        <v>800000</v>
      </c>
      <c r="W62" s="109"/>
      <c r="X62" s="108">
        <v>1358000</v>
      </c>
      <c r="Y62" s="108">
        <v>0</v>
      </c>
      <c r="Z62" s="109">
        <v>1200000</v>
      </c>
      <c r="AA62" s="109"/>
      <c r="AB62" s="109">
        <v>1200000</v>
      </c>
      <c r="AC62" s="109"/>
      <c r="AD62" s="109">
        <v>1200000</v>
      </c>
      <c r="AE62" s="109"/>
      <c r="AF62" s="109">
        <v>739644.46999999974</v>
      </c>
      <c r="AG62" s="109"/>
      <c r="AH62" s="108">
        <v>4339644.47</v>
      </c>
      <c r="AI62" s="108">
        <v>0</v>
      </c>
      <c r="AJ62" s="109"/>
      <c r="AK62" s="109"/>
      <c r="AL62" s="109"/>
      <c r="AM62" s="109"/>
      <c r="AN62" s="109"/>
      <c r="AO62" s="109"/>
      <c r="AP62" s="109"/>
      <c r="AQ62" s="109"/>
      <c r="AR62" s="108">
        <v>0</v>
      </c>
      <c r="AS62" s="108">
        <v>0</v>
      </c>
      <c r="AT62" s="109"/>
      <c r="AU62" s="109"/>
      <c r="AV62" s="109"/>
      <c r="AW62" s="109"/>
      <c r="AX62" s="109"/>
      <c r="AY62" s="109"/>
      <c r="AZ62" s="109"/>
      <c r="BA62" s="109"/>
      <c r="BB62" s="108">
        <v>0</v>
      </c>
      <c r="BC62" s="108">
        <v>0</v>
      </c>
      <c r="BD62" s="108">
        <f t="shared" si="25"/>
        <v>5697644.4699999997</v>
      </c>
      <c r="BE62" s="108">
        <f t="shared" si="25"/>
        <v>0</v>
      </c>
      <c r="BF62" s="108">
        <v>5697644.4699999997</v>
      </c>
    </row>
    <row r="63" spans="1:58" x14ac:dyDescent="0.25">
      <c r="A63" s="155" t="s">
        <v>137</v>
      </c>
      <c r="B63" s="105">
        <v>0</v>
      </c>
      <c r="C63" s="112">
        <v>4882000</v>
      </c>
      <c r="D63" s="106">
        <f t="shared" ref="D63:D64" si="36">B63+C63</f>
        <v>4882000</v>
      </c>
      <c r="F63" s="107"/>
      <c r="G63" s="107">
        <v>2704012</v>
      </c>
      <c r="H63" s="107"/>
      <c r="I63" s="129">
        <f>411569.5*2.23</f>
        <v>917799.98499999999</v>
      </c>
      <c r="J63" s="107"/>
      <c r="K63" s="107"/>
      <c r="L63" s="107"/>
      <c r="M63" s="107"/>
      <c r="N63" s="107">
        <f t="shared" ref="N63:O64" si="37">+L63+J63+H63+F63</f>
        <v>0</v>
      </c>
      <c r="O63" s="135">
        <v>4882000</v>
      </c>
      <c r="P63" s="129"/>
      <c r="Q63" s="129"/>
      <c r="R63" s="129"/>
      <c r="S63" s="129"/>
      <c r="T63" s="129"/>
      <c r="U63" s="129"/>
      <c r="V63" s="129"/>
      <c r="W63" s="129"/>
      <c r="X63" s="107">
        <f t="shared" ref="X63:Y64" si="38">+V63+T63+R63+P63</f>
        <v>0</v>
      </c>
      <c r="Y63" s="107">
        <f t="shared" si="38"/>
        <v>0</v>
      </c>
      <c r="Z63" s="129"/>
      <c r="AA63" s="129"/>
      <c r="AB63" s="129"/>
      <c r="AC63" s="129"/>
      <c r="AD63" s="129"/>
      <c r="AE63" s="129"/>
      <c r="AF63" s="129"/>
      <c r="AG63" s="129"/>
      <c r="AH63" s="107">
        <f>+AF63+AD63+AB63+Z63</f>
        <v>0</v>
      </c>
      <c r="AI63" s="107">
        <f>+AG63+AE63+AC63+AA63</f>
        <v>0</v>
      </c>
      <c r="AJ63" s="129"/>
      <c r="AK63" s="129"/>
      <c r="AL63" s="129"/>
      <c r="AM63" s="129"/>
      <c r="AN63" s="129"/>
      <c r="AO63" s="129"/>
      <c r="AP63" s="129"/>
      <c r="AQ63" s="129"/>
      <c r="AR63" s="107">
        <f>+AP63+AN63+AL63+AJ63</f>
        <v>0</v>
      </c>
      <c r="AS63" s="107">
        <f>+AQ63+AO63+AM63+AK63</f>
        <v>0</v>
      </c>
      <c r="AT63" s="129"/>
      <c r="AU63" s="129"/>
      <c r="AV63" s="129"/>
      <c r="AW63" s="129"/>
      <c r="AX63" s="129"/>
      <c r="AY63" s="129"/>
      <c r="AZ63" s="129"/>
      <c r="BA63" s="129"/>
      <c r="BB63" s="107">
        <f t="shared" ref="BB63:BC64" si="39">+AZ63+AX63+AV63+AT63</f>
        <v>0</v>
      </c>
      <c r="BC63" s="107">
        <f t="shared" si="39"/>
        <v>0</v>
      </c>
      <c r="BD63" s="108">
        <f t="shared" si="25"/>
        <v>0</v>
      </c>
      <c r="BE63" s="108">
        <f t="shared" si="25"/>
        <v>4882000</v>
      </c>
      <c r="BF63" s="107">
        <f t="shared" ref="BF63:BF64" si="40">+BE63+BD63</f>
        <v>4882000</v>
      </c>
    </row>
    <row r="64" spans="1:58" x14ac:dyDescent="0.25">
      <c r="A64" s="155" t="s">
        <v>138</v>
      </c>
      <c r="B64" s="105">
        <v>0</v>
      </c>
      <c r="C64" s="105">
        <v>536175</v>
      </c>
      <c r="D64" s="106">
        <f t="shared" si="36"/>
        <v>536175</v>
      </c>
      <c r="F64" s="124">
        <v>0</v>
      </c>
      <c r="G64" s="107">
        <v>536175</v>
      </c>
      <c r="H64" s="124">
        <v>0</v>
      </c>
      <c r="I64" s="107">
        <v>0</v>
      </c>
      <c r="J64" s="124">
        <v>0</v>
      </c>
      <c r="K64" s="124">
        <v>0</v>
      </c>
      <c r="L64" s="124">
        <v>0</v>
      </c>
      <c r="M64" s="124">
        <v>0</v>
      </c>
      <c r="N64" s="107">
        <f t="shared" si="37"/>
        <v>0</v>
      </c>
      <c r="O64" s="107">
        <f t="shared" si="37"/>
        <v>536175</v>
      </c>
      <c r="P64" s="129"/>
      <c r="Q64" s="129"/>
      <c r="R64" s="129"/>
      <c r="S64" s="129"/>
      <c r="T64" s="129"/>
      <c r="U64" s="129"/>
      <c r="V64" s="129"/>
      <c r="W64" s="129"/>
      <c r="X64" s="107">
        <f t="shared" si="38"/>
        <v>0</v>
      </c>
      <c r="Y64" s="107">
        <f t="shared" si="38"/>
        <v>0</v>
      </c>
      <c r="Z64" s="129"/>
      <c r="AA64" s="129"/>
      <c r="AB64" s="129"/>
      <c r="AC64" s="129"/>
      <c r="AD64" s="129"/>
      <c r="AE64" s="129"/>
      <c r="AF64" s="129"/>
      <c r="AG64" s="129"/>
      <c r="AH64" s="107">
        <f>+AF64+AD64+AB64+Z64</f>
        <v>0</v>
      </c>
      <c r="AI64" s="107">
        <f>+AG64+AE64+AC64+AA64</f>
        <v>0</v>
      </c>
      <c r="AJ64" s="129"/>
      <c r="AK64" s="129"/>
      <c r="AL64" s="129"/>
      <c r="AM64" s="129"/>
      <c r="AN64" s="129"/>
      <c r="AO64" s="129"/>
      <c r="AP64" s="129"/>
      <c r="AQ64" s="129"/>
      <c r="AR64" s="107">
        <f>+AP64+AN64+AL64+AJ64</f>
        <v>0</v>
      </c>
      <c r="AS64" s="107">
        <f>+AQ64+AO64+AM64+AK64</f>
        <v>0</v>
      </c>
      <c r="AT64" s="129"/>
      <c r="AU64" s="129"/>
      <c r="AV64" s="129"/>
      <c r="AW64" s="129"/>
      <c r="AX64" s="129"/>
      <c r="AY64" s="129"/>
      <c r="AZ64" s="129"/>
      <c r="BA64" s="129"/>
      <c r="BB64" s="107">
        <f t="shared" si="39"/>
        <v>0</v>
      </c>
      <c r="BC64" s="107">
        <f t="shared" si="39"/>
        <v>0</v>
      </c>
      <c r="BD64" s="108">
        <f t="shared" si="25"/>
        <v>0</v>
      </c>
      <c r="BE64" s="108">
        <f t="shared" si="25"/>
        <v>536175</v>
      </c>
      <c r="BF64" s="107">
        <f t="shared" si="40"/>
        <v>536175</v>
      </c>
    </row>
    <row r="65" spans="1:58" x14ac:dyDescent="0.25">
      <c r="A65" s="100" t="s">
        <v>139</v>
      </c>
      <c r="B65" s="101">
        <f>B66+B67+B71+B72+B73+B74+B75+B76+B77</f>
        <v>21774000</v>
      </c>
      <c r="C65" s="101">
        <f>C66+C67+C71+C72+C73+C74+C75+C76+C77</f>
        <v>0</v>
      </c>
      <c r="D65" s="101">
        <f>B65+C65</f>
        <v>21774000</v>
      </c>
      <c r="F65" s="101">
        <f>+F66+F67+F71+F72+F73+F74+F75+F76+F77</f>
        <v>0</v>
      </c>
      <c r="G65" s="101">
        <f t="shared" ref="G65:BF65" si="41">+G66+G67+G71+G72+G73+G74+G75+G76+G77</f>
        <v>0</v>
      </c>
      <c r="H65" s="101">
        <f t="shared" si="41"/>
        <v>0</v>
      </c>
      <c r="I65" s="101">
        <f t="shared" si="41"/>
        <v>0</v>
      </c>
      <c r="J65" s="101">
        <f t="shared" si="41"/>
        <v>0</v>
      </c>
      <c r="K65" s="101">
        <f t="shared" si="41"/>
        <v>0</v>
      </c>
      <c r="L65" s="101">
        <f t="shared" si="41"/>
        <v>710000</v>
      </c>
      <c r="M65" s="101">
        <f t="shared" si="41"/>
        <v>0</v>
      </c>
      <c r="N65" s="101">
        <f t="shared" si="41"/>
        <v>710000</v>
      </c>
      <c r="O65" s="101">
        <f t="shared" si="41"/>
        <v>0</v>
      </c>
      <c r="P65" s="101">
        <f t="shared" si="41"/>
        <v>0</v>
      </c>
      <c r="Q65" s="101">
        <f t="shared" si="41"/>
        <v>0</v>
      </c>
      <c r="R65" s="101">
        <f t="shared" si="41"/>
        <v>0</v>
      </c>
      <c r="S65" s="101">
        <f t="shared" si="41"/>
        <v>0</v>
      </c>
      <c r="T65" s="101">
        <f t="shared" si="41"/>
        <v>2074400</v>
      </c>
      <c r="U65" s="101">
        <f t="shared" si="41"/>
        <v>0</v>
      </c>
      <c r="V65" s="101">
        <f t="shared" si="41"/>
        <v>3027180</v>
      </c>
      <c r="W65" s="101">
        <f t="shared" si="41"/>
        <v>0</v>
      </c>
      <c r="X65" s="101">
        <f t="shared" si="41"/>
        <v>5101580</v>
      </c>
      <c r="Y65" s="101">
        <f t="shared" si="41"/>
        <v>0</v>
      </c>
      <c r="Z65" s="101">
        <f t="shared" si="41"/>
        <v>2945960</v>
      </c>
      <c r="AA65" s="101">
        <f t="shared" si="41"/>
        <v>0</v>
      </c>
      <c r="AB65" s="101">
        <f t="shared" si="41"/>
        <v>2472850</v>
      </c>
      <c r="AC65" s="101">
        <f t="shared" si="41"/>
        <v>0</v>
      </c>
      <c r="AD65" s="101">
        <f t="shared" si="41"/>
        <v>2042460</v>
      </c>
      <c r="AE65" s="101">
        <f t="shared" si="41"/>
        <v>0</v>
      </c>
      <c r="AF65" s="101">
        <f t="shared" si="41"/>
        <v>1946570</v>
      </c>
      <c r="AG65" s="101">
        <f t="shared" si="41"/>
        <v>0</v>
      </c>
      <c r="AH65" s="101">
        <f t="shared" si="41"/>
        <v>9407840</v>
      </c>
      <c r="AI65" s="101">
        <f t="shared" si="41"/>
        <v>0</v>
      </c>
      <c r="AJ65" s="101">
        <f t="shared" si="41"/>
        <v>1750680</v>
      </c>
      <c r="AK65" s="101">
        <f t="shared" si="41"/>
        <v>0</v>
      </c>
      <c r="AL65" s="101">
        <f t="shared" si="41"/>
        <v>1995150</v>
      </c>
      <c r="AM65" s="101">
        <f t="shared" si="41"/>
        <v>0</v>
      </c>
      <c r="AN65" s="101">
        <f t="shared" si="41"/>
        <v>736250</v>
      </c>
      <c r="AO65" s="101">
        <f t="shared" si="41"/>
        <v>0</v>
      </c>
      <c r="AP65" s="101">
        <f t="shared" si="41"/>
        <v>836250</v>
      </c>
      <c r="AQ65" s="101">
        <f t="shared" si="41"/>
        <v>0</v>
      </c>
      <c r="AR65" s="101">
        <f t="shared" si="41"/>
        <v>5318330</v>
      </c>
      <c r="AS65" s="101">
        <f t="shared" si="41"/>
        <v>0</v>
      </c>
      <c r="AT65" s="101">
        <f t="shared" si="41"/>
        <v>836250</v>
      </c>
      <c r="AU65" s="101">
        <f t="shared" si="41"/>
        <v>0</v>
      </c>
      <c r="AV65" s="101">
        <f t="shared" si="41"/>
        <v>400000</v>
      </c>
      <c r="AW65" s="101">
        <f t="shared" si="41"/>
        <v>0</v>
      </c>
      <c r="AX65" s="101">
        <f t="shared" si="41"/>
        <v>0</v>
      </c>
      <c r="AY65" s="101">
        <f t="shared" si="41"/>
        <v>0</v>
      </c>
      <c r="AZ65" s="101">
        <f t="shared" si="41"/>
        <v>0</v>
      </c>
      <c r="BA65" s="101">
        <f t="shared" si="41"/>
        <v>0</v>
      </c>
      <c r="BB65" s="101">
        <f t="shared" si="41"/>
        <v>1236250</v>
      </c>
      <c r="BC65" s="101">
        <f t="shared" si="41"/>
        <v>0</v>
      </c>
      <c r="BD65" s="101">
        <f t="shared" si="41"/>
        <v>21774000</v>
      </c>
      <c r="BE65" s="101">
        <f t="shared" si="41"/>
        <v>0</v>
      </c>
      <c r="BF65" s="101">
        <f t="shared" si="41"/>
        <v>21774000</v>
      </c>
    </row>
    <row r="66" spans="1:58" x14ac:dyDescent="0.25">
      <c r="A66" s="158" t="s">
        <v>140</v>
      </c>
      <c r="B66" s="120">
        <v>3345000</v>
      </c>
      <c r="C66" s="119">
        <v>0</v>
      </c>
      <c r="D66" s="106">
        <f>B66+C66</f>
        <v>3345000</v>
      </c>
      <c r="F66" s="108"/>
      <c r="G66" s="108"/>
      <c r="H66" s="108"/>
      <c r="I66" s="108"/>
      <c r="J66" s="108"/>
      <c r="K66" s="108"/>
      <c r="L66" s="108">
        <v>0</v>
      </c>
      <c r="M66" s="108">
        <v>0</v>
      </c>
      <c r="N66" s="108">
        <f>+L66+J66+H66+F66</f>
        <v>0</v>
      </c>
      <c r="O66" s="108">
        <f>+M66+K66+I66+G66</f>
        <v>0</v>
      </c>
      <c r="P66" s="109">
        <v>0</v>
      </c>
      <c r="Q66" s="109"/>
      <c r="R66" s="109">
        <v>0</v>
      </c>
      <c r="S66" s="109"/>
      <c r="T66" s="109">
        <v>0</v>
      </c>
      <c r="U66" s="109"/>
      <c r="V66" s="109">
        <v>0</v>
      </c>
      <c r="W66" s="109"/>
      <c r="X66" s="108">
        <f>+V66+T66+R66+P66</f>
        <v>0</v>
      </c>
      <c r="Y66" s="108">
        <f>+W66+U66+S66+Q66</f>
        <v>0</v>
      </c>
      <c r="Z66" s="109">
        <v>0</v>
      </c>
      <c r="AA66" s="109"/>
      <c r="AB66" s="109"/>
      <c r="AC66" s="109"/>
      <c r="AD66" s="109"/>
      <c r="AE66" s="109"/>
      <c r="AF66" s="109"/>
      <c r="AG66" s="109"/>
      <c r="AH66" s="108">
        <f>+AF66+AD66+AB66+Z66</f>
        <v>0</v>
      </c>
      <c r="AI66" s="108">
        <f>+AG66+AE66+AC66+AA66</f>
        <v>0</v>
      </c>
      <c r="AJ66" s="109">
        <v>0</v>
      </c>
      <c r="AK66" s="109"/>
      <c r="AL66" s="109">
        <v>536250</v>
      </c>
      <c r="AM66" s="109"/>
      <c r="AN66" s="109">
        <v>736250</v>
      </c>
      <c r="AO66" s="109"/>
      <c r="AP66" s="109">
        <v>836250</v>
      </c>
      <c r="AQ66" s="109"/>
      <c r="AR66" s="108">
        <f>+AP66+AN66+AL66+AJ66</f>
        <v>2108750</v>
      </c>
      <c r="AS66" s="108">
        <f>+AQ66+AO66+AM66+AK66</f>
        <v>0</v>
      </c>
      <c r="AT66" s="109">
        <v>836250</v>
      </c>
      <c r="AU66" s="109"/>
      <c r="AV66" s="109">
        <v>400000</v>
      </c>
      <c r="AW66" s="109"/>
      <c r="AX66" s="109"/>
      <c r="AY66" s="109"/>
      <c r="AZ66" s="109"/>
      <c r="BA66" s="109"/>
      <c r="BB66" s="108">
        <f>+AZ66+AX66+AV66+AT66</f>
        <v>1236250</v>
      </c>
      <c r="BC66" s="108">
        <f>+BA66+AY66+AW66+AU66</f>
        <v>0</v>
      </c>
      <c r="BD66" s="108">
        <f>+BB66+AR66+AH66+X66+N66</f>
        <v>3345000</v>
      </c>
      <c r="BE66" s="108">
        <f>+BC66+AS66+AI66+Y66+O66</f>
        <v>0</v>
      </c>
      <c r="BF66" s="108">
        <f>+BE66+BD66</f>
        <v>3345000</v>
      </c>
    </row>
    <row r="67" spans="1:58" x14ac:dyDescent="0.25">
      <c r="A67" s="159" t="s">
        <v>141</v>
      </c>
      <c r="B67" s="106">
        <f>B68+B69+B70</f>
        <v>13589000</v>
      </c>
      <c r="C67" s="106">
        <v>0</v>
      </c>
      <c r="D67" s="106">
        <f>B67+C67</f>
        <v>13589000</v>
      </c>
      <c r="F67" s="106">
        <f t="shared" ref="F67:BF67" si="42">SUM(F68:F70)</f>
        <v>0</v>
      </c>
      <c r="G67" s="106">
        <f t="shared" si="42"/>
        <v>0</v>
      </c>
      <c r="H67" s="106">
        <f t="shared" si="42"/>
        <v>0</v>
      </c>
      <c r="I67" s="106">
        <f t="shared" si="42"/>
        <v>0</v>
      </c>
      <c r="J67" s="106">
        <f t="shared" si="42"/>
        <v>0</v>
      </c>
      <c r="K67" s="106">
        <f t="shared" si="42"/>
        <v>0</v>
      </c>
      <c r="L67" s="106">
        <f t="shared" si="42"/>
        <v>0</v>
      </c>
      <c r="M67" s="106">
        <f t="shared" si="42"/>
        <v>0</v>
      </c>
      <c r="N67" s="106">
        <f t="shared" si="42"/>
        <v>0</v>
      </c>
      <c r="O67" s="106">
        <f t="shared" si="42"/>
        <v>0</v>
      </c>
      <c r="P67" s="106">
        <f t="shared" si="42"/>
        <v>0</v>
      </c>
      <c r="Q67" s="106">
        <f t="shared" si="42"/>
        <v>0</v>
      </c>
      <c r="R67" s="106">
        <f t="shared" si="42"/>
        <v>0</v>
      </c>
      <c r="S67" s="106">
        <f t="shared" si="42"/>
        <v>0</v>
      </c>
      <c r="T67" s="106">
        <f t="shared" si="42"/>
        <v>958900</v>
      </c>
      <c r="U67" s="106">
        <f t="shared" si="42"/>
        <v>0</v>
      </c>
      <c r="V67" s="106">
        <f t="shared" si="42"/>
        <v>1350680</v>
      </c>
      <c r="W67" s="106">
        <f t="shared" si="42"/>
        <v>0</v>
      </c>
      <c r="X67" s="106">
        <f t="shared" si="42"/>
        <v>2309580</v>
      </c>
      <c r="Y67" s="106">
        <f t="shared" si="42"/>
        <v>0</v>
      </c>
      <c r="Z67" s="106">
        <f t="shared" si="42"/>
        <v>1942460</v>
      </c>
      <c r="AA67" s="106">
        <f t="shared" si="42"/>
        <v>0</v>
      </c>
      <c r="AB67" s="106">
        <f t="shared" si="42"/>
        <v>2138350</v>
      </c>
      <c r="AC67" s="106">
        <f t="shared" si="42"/>
        <v>0</v>
      </c>
      <c r="AD67" s="106">
        <f t="shared" si="42"/>
        <v>2042460</v>
      </c>
      <c r="AE67" s="106">
        <f t="shared" si="42"/>
        <v>0</v>
      </c>
      <c r="AF67" s="106">
        <f t="shared" si="42"/>
        <v>1946570</v>
      </c>
      <c r="AG67" s="106">
        <f t="shared" si="42"/>
        <v>0</v>
      </c>
      <c r="AH67" s="106">
        <f t="shared" si="42"/>
        <v>8069840</v>
      </c>
      <c r="AI67" s="106">
        <f t="shared" si="42"/>
        <v>0</v>
      </c>
      <c r="AJ67" s="106">
        <f t="shared" si="42"/>
        <v>1750680</v>
      </c>
      <c r="AK67" s="106">
        <f t="shared" si="42"/>
        <v>0</v>
      </c>
      <c r="AL67" s="106">
        <f t="shared" si="42"/>
        <v>1458900</v>
      </c>
      <c r="AM67" s="106">
        <f t="shared" si="42"/>
        <v>0</v>
      </c>
      <c r="AN67" s="106">
        <f t="shared" si="42"/>
        <v>0</v>
      </c>
      <c r="AO67" s="106">
        <f t="shared" si="42"/>
        <v>0</v>
      </c>
      <c r="AP67" s="106">
        <f t="shared" si="42"/>
        <v>0</v>
      </c>
      <c r="AQ67" s="106">
        <f t="shared" si="42"/>
        <v>0</v>
      </c>
      <c r="AR67" s="106">
        <f t="shared" si="42"/>
        <v>3209580</v>
      </c>
      <c r="AS67" s="106">
        <f t="shared" si="42"/>
        <v>0</v>
      </c>
      <c r="AT67" s="106">
        <f t="shared" si="42"/>
        <v>0</v>
      </c>
      <c r="AU67" s="106">
        <f t="shared" si="42"/>
        <v>0</v>
      </c>
      <c r="AV67" s="106">
        <f t="shared" si="42"/>
        <v>0</v>
      </c>
      <c r="AW67" s="106">
        <f t="shared" si="42"/>
        <v>0</v>
      </c>
      <c r="AX67" s="106">
        <f t="shared" si="42"/>
        <v>0</v>
      </c>
      <c r="AY67" s="106">
        <f t="shared" si="42"/>
        <v>0</v>
      </c>
      <c r="AZ67" s="106">
        <f t="shared" si="42"/>
        <v>0</v>
      </c>
      <c r="BA67" s="106">
        <f t="shared" si="42"/>
        <v>0</v>
      </c>
      <c r="BB67" s="106">
        <f t="shared" si="42"/>
        <v>0</v>
      </c>
      <c r="BC67" s="106">
        <f t="shared" si="42"/>
        <v>0</v>
      </c>
      <c r="BD67" s="106">
        <f t="shared" si="42"/>
        <v>13589000</v>
      </c>
      <c r="BE67" s="106">
        <f t="shared" si="42"/>
        <v>0</v>
      </c>
      <c r="BF67" s="106">
        <f t="shared" si="42"/>
        <v>13589000</v>
      </c>
    </row>
    <row r="68" spans="1:58" x14ac:dyDescent="0.25">
      <c r="A68" s="115" t="s">
        <v>142</v>
      </c>
      <c r="B68" s="105">
        <v>4000000</v>
      </c>
      <c r="C68" s="105">
        <v>0</v>
      </c>
      <c r="D68" s="106">
        <f t="shared" ref="D68:D114" si="43">B68+C68</f>
        <v>4000000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>
        <v>200000</v>
      </c>
      <c r="W68" s="107"/>
      <c r="X68" s="107">
        <f t="shared" ref="X68:Y77" si="44">+V68+T68+R68+P68</f>
        <v>200000</v>
      </c>
      <c r="Y68" s="107"/>
      <c r="Z68" s="107">
        <v>600000</v>
      </c>
      <c r="AA68" s="107"/>
      <c r="AB68" s="107">
        <v>700000</v>
      </c>
      <c r="AC68" s="107"/>
      <c r="AD68" s="107">
        <v>700000</v>
      </c>
      <c r="AE68" s="107"/>
      <c r="AF68" s="107">
        <v>700000</v>
      </c>
      <c r="AG68" s="107"/>
      <c r="AH68" s="107">
        <f t="shared" ref="AH68:AI71" si="45">+AF68+AD68+AB68+Z68</f>
        <v>2700000</v>
      </c>
      <c r="AI68" s="107">
        <f t="shared" si="45"/>
        <v>0</v>
      </c>
      <c r="AJ68" s="107">
        <v>600000</v>
      </c>
      <c r="AK68" s="107"/>
      <c r="AL68" s="107">
        <v>500000</v>
      </c>
      <c r="AM68" s="107"/>
      <c r="AN68" s="107">
        <v>0</v>
      </c>
      <c r="AO68" s="107"/>
      <c r="AP68" s="107">
        <v>0</v>
      </c>
      <c r="AQ68" s="107"/>
      <c r="AR68" s="107">
        <f t="shared" ref="AR68:AS71" si="46">+AP68+AN68+AL68+AJ68</f>
        <v>1100000</v>
      </c>
      <c r="AS68" s="107">
        <f t="shared" si="46"/>
        <v>0</v>
      </c>
      <c r="AT68" s="107"/>
      <c r="AU68" s="107"/>
      <c r="AV68" s="107"/>
      <c r="AW68" s="107"/>
      <c r="AX68" s="107"/>
      <c r="AY68" s="107"/>
      <c r="AZ68" s="107"/>
      <c r="BA68" s="107"/>
      <c r="BB68" s="107">
        <f t="shared" ref="BB68:BC71" si="47">+AZ68+AX68+AV68+AT68</f>
        <v>0</v>
      </c>
      <c r="BC68" s="107">
        <f t="shared" si="47"/>
        <v>0</v>
      </c>
      <c r="BD68" s="107">
        <f t="shared" ref="BD68:BE76" si="48">+BB68+AR68+AH68+X68+N68</f>
        <v>4000000</v>
      </c>
      <c r="BE68" s="107">
        <f t="shared" si="48"/>
        <v>0</v>
      </c>
      <c r="BF68" s="107">
        <f t="shared" ref="BF68:BF77" si="49">+BE68+BD68</f>
        <v>4000000</v>
      </c>
    </row>
    <row r="69" spans="1:58" x14ac:dyDescent="0.25">
      <c r="A69" s="115" t="s">
        <v>143</v>
      </c>
      <c r="B69" s="105">
        <v>2453000</v>
      </c>
      <c r="C69" s="160">
        <v>0</v>
      </c>
      <c r="D69" s="106">
        <f t="shared" si="43"/>
        <v>2453000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f t="shared" ref="N69:O73" si="50">+L69+J69+H69+F69</f>
        <v>0</v>
      </c>
      <c r="O69" s="107">
        <f t="shared" si="50"/>
        <v>0</v>
      </c>
      <c r="P69" s="129">
        <v>0</v>
      </c>
      <c r="Q69" s="129">
        <v>0</v>
      </c>
      <c r="R69" s="129">
        <v>0</v>
      </c>
      <c r="S69" s="129">
        <v>0</v>
      </c>
      <c r="T69" s="129">
        <v>245300</v>
      </c>
      <c r="U69" s="129">
        <v>0</v>
      </c>
      <c r="V69" s="129">
        <v>294360</v>
      </c>
      <c r="W69" s="129">
        <v>0</v>
      </c>
      <c r="X69" s="107">
        <f t="shared" si="44"/>
        <v>539660</v>
      </c>
      <c r="Y69" s="107">
        <f t="shared" si="44"/>
        <v>0</v>
      </c>
      <c r="Z69" s="129">
        <v>343420</v>
      </c>
      <c r="AA69" s="129">
        <v>0</v>
      </c>
      <c r="AB69" s="129">
        <v>367950</v>
      </c>
      <c r="AC69" s="129">
        <v>0</v>
      </c>
      <c r="AD69" s="129">
        <v>343420</v>
      </c>
      <c r="AE69" s="129">
        <v>0</v>
      </c>
      <c r="AF69" s="129">
        <v>318890</v>
      </c>
      <c r="AG69" s="129">
        <v>0</v>
      </c>
      <c r="AH69" s="107">
        <f t="shared" si="45"/>
        <v>1373680</v>
      </c>
      <c r="AI69" s="107">
        <f t="shared" si="45"/>
        <v>0</v>
      </c>
      <c r="AJ69" s="129">
        <v>294360</v>
      </c>
      <c r="AK69" s="129">
        <v>0</v>
      </c>
      <c r="AL69" s="129">
        <v>245300</v>
      </c>
      <c r="AM69" s="129">
        <v>0</v>
      </c>
      <c r="AN69" s="129">
        <v>0</v>
      </c>
      <c r="AO69" s="129">
        <v>0</v>
      </c>
      <c r="AP69" s="129">
        <v>0</v>
      </c>
      <c r="AQ69" s="129">
        <v>0</v>
      </c>
      <c r="AR69" s="107">
        <f t="shared" si="46"/>
        <v>539660</v>
      </c>
      <c r="AS69" s="107">
        <f t="shared" si="46"/>
        <v>0</v>
      </c>
      <c r="AT69" s="129">
        <v>0</v>
      </c>
      <c r="AU69" s="129">
        <v>0</v>
      </c>
      <c r="AV69" s="129">
        <v>0</v>
      </c>
      <c r="AW69" s="129">
        <v>0</v>
      </c>
      <c r="AX69" s="129">
        <v>0</v>
      </c>
      <c r="AY69" s="129">
        <v>0</v>
      </c>
      <c r="AZ69" s="129">
        <v>0</v>
      </c>
      <c r="BA69" s="129">
        <v>0</v>
      </c>
      <c r="BB69" s="107">
        <f t="shared" si="47"/>
        <v>0</v>
      </c>
      <c r="BC69" s="107">
        <f t="shared" si="47"/>
        <v>0</v>
      </c>
      <c r="BD69" s="107">
        <f t="shared" si="48"/>
        <v>2453000</v>
      </c>
      <c r="BE69" s="107">
        <f t="shared" si="48"/>
        <v>0</v>
      </c>
      <c r="BF69" s="107">
        <f t="shared" si="49"/>
        <v>2453000</v>
      </c>
    </row>
    <row r="70" spans="1:58" x14ac:dyDescent="0.25">
      <c r="A70" s="115" t="s">
        <v>144</v>
      </c>
      <c r="B70" s="105">
        <v>7136000</v>
      </c>
      <c r="C70" s="160">
        <v>0</v>
      </c>
      <c r="D70" s="106">
        <f t="shared" si="43"/>
        <v>7136000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  <c r="M70" s="107">
        <v>0</v>
      </c>
      <c r="N70" s="107">
        <f t="shared" si="50"/>
        <v>0</v>
      </c>
      <c r="O70" s="107">
        <f t="shared" si="50"/>
        <v>0</v>
      </c>
      <c r="P70" s="129">
        <v>0</v>
      </c>
      <c r="Q70" s="129">
        <v>0</v>
      </c>
      <c r="R70" s="129">
        <v>0</v>
      </c>
      <c r="S70" s="129">
        <v>0</v>
      </c>
      <c r="T70" s="129">
        <v>713600</v>
      </c>
      <c r="U70" s="129">
        <v>0</v>
      </c>
      <c r="V70" s="129">
        <v>856320</v>
      </c>
      <c r="W70" s="129">
        <v>0</v>
      </c>
      <c r="X70" s="107">
        <f t="shared" si="44"/>
        <v>1569920</v>
      </c>
      <c r="Y70" s="107">
        <f t="shared" si="44"/>
        <v>0</v>
      </c>
      <c r="Z70" s="129">
        <v>999040</v>
      </c>
      <c r="AA70" s="129">
        <v>0</v>
      </c>
      <c r="AB70" s="129">
        <v>1070400</v>
      </c>
      <c r="AC70" s="129">
        <v>0</v>
      </c>
      <c r="AD70" s="129">
        <v>999040</v>
      </c>
      <c r="AE70" s="129">
        <v>0</v>
      </c>
      <c r="AF70" s="129">
        <v>927680</v>
      </c>
      <c r="AG70" s="129">
        <v>0</v>
      </c>
      <c r="AH70" s="107">
        <f t="shared" si="45"/>
        <v>3996160</v>
      </c>
      <c r="AI70" s="107">
        <f t="shared" si="45"/>
        <v>0</v>
      </c>
      <c r="AJ70" s="129">
        <v>856320</v>
      </c>
      <c r="AK70" s="129">
        <v>0</v>
      </c>
      <c r="AL70" s="129">
        <v>713600</v>
      </c>
      <c r="AM70" s="129">
        <v>0</v>
      </c>
      <c r="AN70" s="129">
        <v>0</v>
      </c>
      <c r="AO70" s="129">
        <v>0</v>
      </c>
      <c r="AP70" s="129">
        <v>0</v>
      </c>
      <c r="AQ70" s="129">
        <v>0</v>
      </c>
      <c r="AR70" s="107">
        <f t="shared" si="46"/>
        <v>1569920</v>
      </c>
      <c r="AS70" s="107">
        <f t="shared" si="46"/>
        <v>0</v>
      </c>
      <c r="AT70" s="129">
        <v>0</v>
      </c>
      <c r="AU70" s="129">
        <v>0</v>
      </c>
      <c r="AV70" s="129">
        <v>0</v>
      </c>
      <c r="AW70" s="129">
        <v>0</v>
      </c>
      <c r="AX70" s="129">
        <v>0</v>
      </c>
      <c r="AY70" s="129">
        <v>0</v>
      </c>
      <c r="AZ70" s="129">
        <v>0</v>
      </c>
      <c r="BA70" s="129">
        <v>0</v>
      </c>
      <c r="BB70" s="107">
        <f t="shared" si="47"/>
        <v>0</v>
      </c>
      <c r="BC70" s="107">
        <f t="shared" si="47"/>
        <v>0</v>
      </c>
      <c r="BD70" s="107">
        <f t="shared" si="48"/>
        <v>7136000</v>
      </c>
      <c r="BE70" s="107">
        <f t="shared" si="48"/>
        <v>0</v>
      </c>
      <c r="BF70" s="107">
        <f t="shared" si="49"/>
        <v>7136000</v>
      </c>
    </row>
    <row r="71" spans="1:58" x14ac:dyDescent="0.25">
      <c r="A71" s="161" t="s">
        <v>145</v>
      </c>
      <c r="B71" s="119">
        <v>350000</v>
      </c>
      <c r="C71" s="119"/>
      <c r="D71" s="106">
        <f t="shared" si="43"/>
        <v>350000</v>
      </c>
      <c r="F71" s="108"/>
      <c r="G71" s="108"/>
      <c r="H71" s="108"/>
      <c r="I71" s="108"/>
      <c r="J71" s="108"/>
      <c r="K71" s="108"/>
      <c r="L71" s="108">
        <v>350000</v>
      </c>
      <c r="M71" s="108"/>
      <c r="N71" s="107">
        <f t="shared" si="50"/>
        <v>350000</v>
      </c>
      <c r="O71" s="107">
        <f t="shared" si="50"/>
        <v>0</v>
      </c>
      <c r="P71" s="108"/>
      <c r="Q71" s="109"/>
      <c r="R71" s="108"/>
      <c r="S71" s="108"/>
      <c r="T71" s="108"/>
      <c r="U71" s="109"/>
      <c r="V71" s="108"/>
      <c r="W71" s="109"/>
      <c r="X71" s="107">
        <f t="shared" si="44"/>
        <v>0</v>
      </c>
      <c r="Y71" s="107">
        <f t="shared" si="44"/>
        <v>0</v>
      </c>
      <c r="Z71" s="108"/>
      <c r="AA71" s="109"/>
      <c r="AB71" s="108"/>
      <c r="AC71" s="109"/>
      <c r="AD71" s="108"/>
      <c r="AE71" s="109"/>
      <c r="AF71" s="108"/>
      <c r="AG71" s="109"/>
      <c r="AH71" s="107">
        <f t="shared" si="45"/>
        <v>0</v>
      </c>
      <c r="AI71" s="107">
        <f t="shared" si="45"/>
        <v>0</v>
      </c>
      <c r="AJ71" s="108"/>
      <c r="AK71" s="109"/>
      <c r="AL71" s="108"/>
      <c r="AM71" s="109"/>
      <c r="AN71" s="108"/>
      <c r="AO71" s="109"/>
      <c r="AP71" s="108"/>
      <c r="AQ71" s="109"/>
      <c r="AR71" s="107">
        <f t="shared" si="46"/>
        <v>0</v>
      </c>
      <c r="AS71" s="107">
        <f t="shared" si="46"/>
        <v>0</v>
      </c>
      <c r="AT71" s="108"/>
      <c r="AU71" s="109"/>
      <c r="AV71" s="108"/>
      <c r="AW71" s="109"/>
      <c r="AX71" s="109"/>
      <c r="AY71" s="109"/>
      <c r="AZ71" s="109"/>
      <c r="BA71" s="109"/>
      <c r="BB71" s="107">
        <f t="shared" si="47"/>
        <v>0</v>
      </c>
      <c r="BC71" s="107">
        <f t="shared" si="47"/>
        <v>0</v>
      </c>
      <c r="BD71" s="107">
        <f t="shared" si="48"/>
        <v>350000</v>
      </c>
      <c r="BE71" s="107">
        <f t="shared" si="48"/>
        <v>0</v>
      </c>
      <c r="BF71" s="107">
        <f t="shared" si="49"/>
        <v>350000</v>
      </c>
    </row>
    <row r="72" spans="1:58" x14ac:dyDescent="0.25">
      <c r="A72" s="110" t="s">
        <v>146</v>
      </c>
      <c r="B72" s="105">
        <v>200000</v>
      </c>
      <c r="C72" s="105"/>
      <c r="D72" s="106">
        <f t="shared" si="43"/>
        <v>200000</v>
      </c>
      <c r="F72" s="107"/>
      <c r="G72" s="107"/>
      <c r="H72" s="107"/>
      <c r="I72" s="107"/>
      <c r="J72" s="107"/>
      <c r="K72" s="107"/>
      <c r="L72" s="107"/>
      <c r="M72" s="107"/>
      <c r="N72" s="107">
        <f t="shared" si="50"/>
        <v>0</v>
      </c>
      <c r="O72" s="107">
        <f t="shared" si="50"/>
        <v>0</v>
      </c>
      <c r="P72" s="107"/>
      <c r="Q72" s="129"/>
      <c r="R72" s="107"/>
      <c r="S72" s="107"/>
      <c r="T72" s="107">
        <v>100000</v>
      </c>
      <c r="U72" s="129"/>
      <c r="V72" s="107">
        <v>100000</v>
      </c>
      <c r="W72" s="129"/>
      <c r="X72" s="107">
        <f t="shared" si="44"/>
        <v>200000</v>
      </c>
      <c r="Y72" s="107">
        <f t="shared" si="44"/>
        <v>0</v>
      </c>
      <c r="Z72" s="107"/>
      <c r="AA72" s="129"/>
      <c r="AB72" s="107"/>
      <c r="AC72" s="129"/>
      <c r="AD72" s="107"/>
      <c r="AE72" s="129"/>
      <c r="AF72" s="107"/>
      <c r="AG72" s="129"/>
      <c r="AH72" s="107"/>
      <c r="AI72" s="107"/>
      <c r="AJ72" s="107"/>
      <c r="AK72" s="129"/>
      <c r="AL72" s="107"/>
      <c r="AM72" s="129"/>
      <c r="AN72" s="107"/>
      <c r="AO72" s="129"/>
      <c r="AP72" s="107"/>
      <c r="AQ72" s="129"/>
      <c r="AR72" s="107"/>
      <c r="AS72" s="107"/>
      <c r="AT72" s="107"/>
      <c r="AU72" s="129"/>
      <c r="AV72" s="107"/>
      <c r="AW72" s="129"/>
      <c r="AX72" s="129"/>
      <c r="AY72" s="129"/>
      <c r="AZ72" s="129"/>
      <c r="BA72" s="129"/>
      <c r="BB72" s="107"/>
      <c r="BC72" s="107"/>
      <c r="BD72" s="107">
        <f t="shared" si="48"/>
        <v>200000</v>
      </c>
      <c r="BE72" s="107">
        <f t="shared" si="48"/>
        <v>0</v>
      </c>
      <c r="BF72" s="107">
        <f t="shared" si="49"/>
        <v>200000</v>
      </c>
    </row>
    <row r="73" spans="1:58" ht="24" x14ac:dyDescent="0.25">
      <c r="A73" s="161" t="s">
        <v>147</v>
      </c>
      <c r="B73" s="119">
        <v>360000</v>
      </c>
      <c r="C73" s="119"/>
      <c r="D73" s="106">
        <f t="shared" si="43"/>
        <v>360000</v>
      </c>
      <c r="F73" s="108"/>
      <c r="G73" s="108"/>
      <c r="H73" s="108"/>
      <c r="I73" s="108"/>
      <c r="J73" s="108"/>
      <c r="K73" s="108"/>
      <c r="L73" s="108">
        <v>360000</v>
      </c>
      <c r="M73" s="108"/>
      <c r="N73" s="107">
        <f t="shared" si="50"/>
        <v>360000</v>
      </c>
      <c r="O73" s="107">
        <f t="shared" si="50"/>
        <v>0</v>
      </c>
      <c r="P73" s="108"/>
      <c r="Q73" s="109"/>
      <c r="R73" s="108"/>
      <c r="S73" s="108"/>
      <c r="T73" s="108"/>
      <c r="U73" s="109"/>
      <c r="V73" s="108"/>
      <c r="W73" s="109"/>
      <c r="X73" s="107">
        <f t="shared" si="44"/>
        <v>0</v>
      </c>
      <c r="Y73" s="107">
        <f t="shared" si="44"/>
        <v>0</v>
      </c>
      <c r="Z73" s="108"/>
      <c r="AA73" s="109"/>
      <c r="AB73" s="108"/>
      <c r="AC73" s="109"/>
      <c r="AD73" s="108"/>
      <c r="AE73" s="109"/>
      <c r="AF73" s="108"/>
      <c r="AG73" s="109"/>
      <c r="AH73" s="107">
        <f>+AF73+AD73+AB73+Z73</f>
        <v>0</v>
      </c>
      <c r="AI73" s="107">
        <f>+AG73+AE73+AC73+AA73</f>
        <v>0</v>
      </c>
      <c r="AJ73" s="108"/>
      <c r="AK73" s="109"/>
      <c r="AL73" s="108"/>
      <c r="AM73" s="109"/>
      <c r="AN73" s="108"/>
      <c r="AO73" s="109"/>
      <c r="AP73" s="108"/>
      <c r="AQ73" s="109"/>
      <c r="AR73" s="107">
        <f>+AP73+AN73+AL73+AJ73</f>
        <v>0</v>
      </c>
      <c r="AS73" s="107">
        <f>+AQ73+AO73+AM73+AK73</f>
        <v>0</v>
      </c>
      <c r="AT73" s="108"/>
      <c r="AU73" s="109"/>
      <c r="AV73" s="108"/>
      <c r="AW73" s="109"/>
      <c r="AX73" s="109"/>
      <c r="AY73" s="109"/>
      <c r="AZ73" s="109"/>
      <c r="BA73" s="109"/>
      <c r="BB73" s="107">
        <f>+AZ73+AX73+AV73+AT73</f>
        <v>0</v>
      </c>
      <c r="BC73" s="107">
        <f>+BA73+AY73+AW73+AU73</f>
        <v>0</v>
      </c>
      <c r="BD73" s="107">
        <f t="shared" si="48"/>
        <v>360000</v>
      </c>
      <c r="BE73" s="107">
        <f t="shared" si="48"/>
        <v>0</v>
      </c>
      <c r="BF73" s="107">
        <f t="shared" si="49"/>
        <v>360000</v>
      </c>
    </row>
    <row r="74" spans="1:58" x14ac:dyDescent="0.25">
      <c r="A74" s="162" t="s">
        <v>148</v>
      </c>
      <c r="B74" s="106">
        <v>350000</v>
      </c>
      <c r="C74" s="106"/>
      <c r="D74" s="106">
        <f t="shared" si="43"/>
        <v>350000</v>
      </c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29"/>
      <c r="R74" s="107"/>
      <c r="S74" s="107"/>
      <c r="T74" s="107"/>
      <c r="U74" s="129"/>
      <c r="V74" s="107">
        <v>350000</v>
      </c>
      <c r="W74" s="129"/>
      <c r="X74" s="107">
        <f t="shared" si="44"/>
        <v>350000</v>
      </c>
      <c r="Y74" s="107">
        <f t="shared" si="44"/>
        <v>0</v>
      </c>
      <c r="Z74" s="107"/>
      <c r="AA74" s="129"/>
      <c r="AB74" s="107"/>
      <c r="AC74" s="129"/>
      <c r="AD74" s="107"/>
      <c r="AE74" s="129"/>
      <c r="AF74" s="107"/>
      <c r="AG74" s="129"/>
      <c r="AH74" s="107"/>
      <c r="AI74" s="107"/>
      <c r="AJ74" s="107"/>
      <c r="AK74" s="129"/>
      <c r="AL74" s="107"/>
      <c r="AM74" s="129"/>
      <c r="AN74" s="107"/>
      <c r="AO74" s="129"/>
      <c r="AP74" s="107"/>
      <c r="AQ74" s="129"/>
      <c r="AR74" s="107"/>
      <c r="AS74" s="107"/>
      <c r="AT74" s="107"/>
      <c r="AU74" s="129"/>
      <c r="AV74" s="107"/>
      <c r="AW74" s="129"/>
      <c r="AX74" s="129"/>
      <c r="AY74" s="129"/>
      <c r="AZ74" s="129"/>
      <c r="BA74" s="129"/>
      <c r="BB74" s="107"/>
      <c r="BC74" s="107"/>
      <c r="BD74" s="107">
        <f t="shared" si="48"/>
        <v>350000</v>
      </c>
      <c r="BE74" s="107">
        <f t="shared" si="48"/>
        <v>0</v>
      </c>
      <c r="BF74" s="107">
        <f t="shared" si="49"/>
        <v>350000</v>
      </c>
    </row>
    <row r="75" spans="1:58" x14ac:dyDescent="0.25">
      <c r="A75" s="104" t="s">
        <v>149</v>
      </c>
      <c r="B75" s="120">
        <v>0</v>
      </c>
      <c r="C75" s="120"/>
      <c r="D75" s="106">
        <f t="shared" si="43"/>
        <v>0</v>
      </c>
      <c r="F75" s="121"/>
      <c r="G75" s="121"/>
      <c r="H75" s="121"/>
      <c r="I75" s="121"/>
      <c r="J75" s="121"/>
      <c r="K75" s="121"/>
      <c r="L75" s="121"/>
      <c r="M75" s="121"/>
      <c r="N75" s="120"/>
      <c r="O75" s="120"/>
      <c r="P75" s="122"/>
      <c r="Q75" s="122"/>
      <c r="R75" s="122"/>
      <c r="S75" s="122"/>
      <c r="T75" s="122"/>
      <c r="U75" s="122"/>
      <c r="V75" s="122"/>
      <c r="W75" s="122"/>
      <c r="X75" s="121"/>
      <c r="Y75" s="121"/>
      <c r="Z75" s="122"/>
      <c r="AA75" s="122"/>
      <c r="AB75" s="122"/>
      <c r="AC75" s="122"/>
      <c r="AD75" s="122"/>
      <c r="AE75" s="122"/>
      <c r="AF75" s="122"/>
      <c r="AG75" s="122"/>
      <c r="AH75" s="121"/>
      <c r="AI75" s="121"/>
      <c r="AJ75" s="122"/>
      <c r="AK75" s="122"/>
      <c r="AL75" s="122"/>
      <c r="AM75" s="122"/>
      <c r="AN75" s="122"/>
      <c r="AO75" s="122"/>
      <c r="AP75" s="122"/>
      <c r="AQ75" s="122"/>
      <c r="AR75" s="121">
        <f>+AP75+AN75+AL75+AJ75</f>
        <v>0</v>
      </c>
      <c r="AS75" s="121">
        <f>+AQ75+AO75+AM75+AK75</f>
        <v>0</v>
      </c>
      <c r="AT75" s="122"/>
      <c r="AU75" s="122"/>
      <c r="AV75" s="122"/>
      <c r="AW75" s="122"/>
      <c r="AX75" s="122"/>
      <c r="AY75" s="122"/>
      <c r="AZ75" s="122"/>
      <c r="BA75" s="122"/>
      <c r="BB75" s="121">
        <f>+AZ75+AX75+AV75+AT75</f>
        <v>0</v>
      </c>
      <c r="BC75" s="121">
        <f>+BA75+AY75+AW75+AU75</f>
        <v>0</v>
      </c>
      <c r="BD75" s="121">
        <f t="shared" si="48"/>
        <v>0</v>
      </c>
      <c r="BE75" s="121">
        <f t="shared" si="48"/>
        <v>0</v>
      </c>
      <c r="BF75" s="121">
        <f t="shared" si="49"/>
        <v>0</v>
      </c>
    </row>
    <row r="76" spans="1:58" ht="21" customHeight="1" x14ac:dyDescent="0.25">
      <c r="A76" s="163" t="s">
        <v>150</v>
      </c>
      <c r="B76" s="120">
        <v>1350000</v>
      </c>
      <c r="C76" s="120">
        <v>0</v>
      </c>
      <c r="D76" s="106">
        <f t="shared" si="43"/>
        <v>1350000</v>
      </c>
      <c r="F76" s="124">
        <v>0</v>
      </c>
      <c r="G76" s="124"/>
      <c r="H76" s="124">
        <v>0</v>
      </c>
      <c r="I76" s="124"/>
      <c r="J76" s="124">
        <v>0</v>
      </c>
      <c r="K76" s="124"/>
      <c r="L76" s="124">
        <v>0</v>
      </c>
      <c r="M76" s="124"/>
      <c r="N76" s="121">
        <f>+L76+J76+H76+F76</f>
        <v>0</v>
      </c>
      <c r="O76" s="121">
        <f>+M76+K76+I76+G76</f>
        <v>0</v>
      </c>
      <c r="P76" s="122"/>
      <c r="Q76" s="122"/>
      <c r="R76" s="122"/>
      <c r="S76" s="122"/>
      <c r="T76" s="124">
        <f>150000*2.23+12000</f>
        <v>346500</v>
      </c>
      <c r="U76" s="124"/>
      <c r="V76" s="124">
        <v>334500</v>
      </c>
      <c r="W76" s="122"/>
      <c r="X76" s="121">
        <f t="shared" si="44"/>
        <v>681000</v>
      </c>
      <c r="Y76" s="121">
        <f t="shared" si="44"/>
        <v>0</v>
      </c>
      <c r="Z76" s="122">
        <v>334500</v>
      </c>
      <c r="AA76" s="122"/>
      <c r="AB76" s="122">
        <v>334500</v>
      </c>
      <c r="AC76" s="122"/>
      <c r="AD76" s="122"/>
      <c r="AE76" s="122"/>
      <c r="AF76" s="122"/>
      <c r="AG76" s="122"/>
      <c r="AH76" s="121">
        <f>+AF76+AD76+AB76+Z76</f>
        <v>669000</v>
      </c>
      <c r="AI76" s="121">
        <f>+AG76+AE76+AC76+AA76</f>
        <v>0</v>
      </c>
      <c r="AJ76" s="122"/>
      <c r="AK76" s="122"/>
      <c r="AL76" s="122"/>
      <c r="AM76" s="122"/>
      <c r="AN76" s="122"/>
      <c r="AO76" s="122"/>
      <c r="AP76" s="122"/>
      <c r="AQ76" s="122"/>
      <c r="AR76" s="121">
        <f>+AP76+AN76+AL76+AJ76</f>
        <v>0</v>
      </c>
      <c r="AS76" s="121">
        <f>+AQ76+AO76+AM76+AK76</f>
        <v>0</v>
      </c>
      <c r="AT76" s="122"/>
      <c r="AU76" s="122"/>
      <c r="AV76" s="122"/>
      <c r="AW76" s="122"/>
      <c r="AX76" s="122"/>
      <c r="AY76" s="122"/>
      <c r="AZ76" s="122"/>
      <c r="BA76" s="122"/>
      <c r="BB76" s="121">
        <f>+AZ76+AX76+AV76+AT76</f>
        <v>0</v>
      </c>
      <c r="BC76" s="121">
        <f>+BA76+AY76+AW76+AU76</f>
        <v>0</v>
      </c>
      <c r="BD76" s="121">
        <f t="shared" si="48"/>
        <v>1350000</v>
      </c>
      <c r="BE76" s="121">
        <f t="shared" si="48"/>
        <v>0</v>
      </c>
      <c r="BF76" s="121">
        <f t="shared" si="49"/>
        <v>1350000</v>
      </c>
    </row>
    <row r="77" spans="1:58" x14ac:dyDescent="0.25">
      <c r="A77" s="162" t="s">
        <v>151</v>
      </c>
      <c r="B77" s="106">
        <v>2230000</v>
      </c>
      <c r="C77" s="106">
        <v>0</v>
      </c>
      <c r="D77" s="106">
        <f t="shared" si="43"/>
        <v>2230000</v>
      </c>
      <c r="F77" s="124"/>
      <c r="G77" s="124"/>
      <c r="H77" s="124"/>
      <c r="I77" s="124"/>
      <c r="J77" s="124"/>
      <c r="K77" s="124"/>
      <c r="L77" s="124"/>
      <c r="M77" s="124"/>
      <c r="N77" s="124">
        <f>L77+J77+H77+F77</f>
        <v>0</v>
      </c>
      <c r="O77" s="124">
        <f>M77+K77+I77+G77</f>
        <v>0</v>
      </c>
      <c r="P77" s="164"/>
      <c r="Q77" s="164"/>
      <c r="R77" s="164"/>
      <c r="S77" s="164"/>
      <c r="T77" s="164">
        <v>669000</v>
      </c>
      <c r="U77" s="164"/>
      <c r="V77" s="164">
        <v>892000</v>
      </c>
      <c r="W77" s="164"/>
      <c r="X77" s="124">
        <f t="shared" si="44"/>
        <v>1561000</v>
      </c>
      <c r="Y77" s="164"/>
      <c r="Z77" s="164">
        <v>669000</v>
      </c>
      <c r="AA77" s="164"/>
      <c r="AB77" s="164"/>
      <c r="AC77" s="164"/>
      <c r="AD77" s="164"/>
      <c r="AE77" s="164"/>
      <c r="AF77" s="164"/>
      <c r="AG77" s="164"/>
      <c r="AH77" s="124">
        <f>+AF77+AD77+AB77+Z77</f>
        <v>669000</v>
      </c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24">
        <f>+BB77+AR77+AH77+X77+N77</f>
        <v>2230000</v>
      </c>
      <c r="BE77" s="164"/>
      <c r="BF77" s="124">
        <f t="shared" si="49"/>
        <v>2230000</v>
      </c>
    </row>
    <row r="78" spans="1:58" x14ac:dyDescent="0.25">
      <c r="A78" s="100" t="s">
        <v>152</v>
      </c>
      <c r="B78" s="101">
        <f>B79</f>
        <v>128537072.95</v>
      </c>
      <c r="C78" s="101">
        <f>C79</f>
        <v>0</v>
      </c>
      <c r="D78" s="101">
        <f t="shared" si="43"/>
        <v>128537072.95</v>
      </c>
      <c r="F78" s="101">
        <f>+F79</f>
        <v>0</v>
      </c>
      <c r="G78" s="101">
        <f t="shared" ref="G78:BF78" si="51">+G79</f>
        <v>0</v>
      </c>
      <c r="H78" s="101">
        <f t="shared" si="51"/>
        <v>0</v>
      </c>
      <c r="I78" s="101">
        <f t="shared" si="51"/>
        <v>0</v>
      </c>
      <c r="J78" s="101">
        <f t="shared" si="51"/>
        <v>7574626</v>
      </c>
      <c r="K78" s="101">
        <f t="shared" si="51"/>
        <v>0</v>
      </c>
      <c r="L78" s="101">
        <f t="shared" si="51"/>
        <v>17482699</v>
      </c>
      <c r="M78" s="101">
        <f t="shared" si="51"/>
        <v>0</v>
      </c>
      <c r="N78" s="101">
        <f t="shared" si="51"/>
        <v>25057325</v>
      </c>
      <c r="O78" s="101">
        <f t="shared" si="51"/>
        <v>0</v>
      </c>
      <c r="P78" s="101">
        <f t="shared" si="51"/>
        <v>15546133</v>
      </c>
      <c r="Q78" s="101">
        <f t="shared" si="51"/>
        <v>0</v>
      </c>
      <c r="R78" s="101">
        <f t="shared" si="51"/>
        <v>18506547</v>
      </c>
      <c r="S78" s="101">
        <f t="shared" si="51"/>
        <v>0</v>
      </c>
      <c r="T78" s="101">
        <f t="shared" si="51"/>
        <v>17850711</v>
      </c>
      <c r="U78" s="101">
        <f t="shared" si="51"/>
        <v>0</v>
      </c>
      <c r="V78" s="101">
        <f t="shared" si="51"/>
        <v>19713993</v>
      </c>
      <c r="W78" s="101">
        <f t="shared" si="51"/>
        <v>0</v>
      </c>
      <c r="X78" s="101">
        <f t="shared" si="51"/>
        <v>71617384</v>
      </c>
      <c r="Y78" s="101">
        <f t="shared" si="51"/>
        <v>0</v>
      </c>
      <c r="Z78" s="101">
        <f t="shared" si="51"/>
        <v>16730636</v>
      </c>
      <c r="AA78" s="101">
        <f t="shared" si="51"/>
        <v>0</v>
      </c>
      <c r="AB78" s="101">
        <f t="shared" si="51"/>
        <v>15131727.949999999</v>
      </c>
      <c r="AC78" s="101">
        <f t="shared" si="51"/>
        <v>0</v>
      </c>
      <c r="AD78" s="101">
        <f t="shared" si="51"/>
        <v>0</v>
      </c>
      <c r="AE78" s="101">
        <f t="shared" si="51"/>
        <v>0</v>
      </c>
      <c r="AF78" s="101">
        <f t="shared" si="51"/>
        <v>0</v>
      </c>
      <c r="AG78" s="101">
        <f t="shared" si="51"/>
        <v>0</v>
      </c>
      <c r="AH78" s="101">
        <f t="shared" si="51"/>
        <v>31862363.949999999</v>
      </c>
      <c r="AI78" s="101">
        <f t="shared" si="51"/>
        <v>0</v>
      </c>
      <c r="AJ78" s="101">
        <f t="shared" si="51"/>
        <v>0</v>
      </c>
      <c r="AK78" s="101">
        <f t="shared" si="51"/>
        <v>0</v>
      </c>
      <c r="AL78" s="101">
        <f t="shared" si="51"/>
        <v>0</v>
      </c>
      <c r="AM78" s="101">
        <f t="shared" si="51"/>
        <v>0</v>
      </c>
      <c r="AN78" s="101">
        <f t="shared" si="51"/>
        <v>0</v>
      </c>
      <c r="AO78" s="101">
        <f t="shared" si="51"/>
        <v>0</v>
      </c>
      <c r="AP78" s="101">
        <f t="shared" si="51"/>
        <v>0</v>
      </c>
      <c r="AQ78" s="101">
        <f t="shared" si="51"/>
        <v>0</v>
      </c>
      <c r="AR78" s="101">
        <f t="shared" si="51"/>
        <v>0</v>
      </c>
      <c r="AS78" s="101">
        <f t="shared" si="51"/>
        <v>0</v>
      </c>
      <c r="AT78" s="101">
        <f t="shared" si="51"/>
        <v>0</v>
      </c>
      <c r="AU78" s="101">
        <f t="shared" si="51"/>
        <v>0</v>
      </c>
      <c r="AV78" s="101">
        <f t="shared" si="51"/>
        <v>0</v>
      </c>
      <c r="AW78" s="101">
        <f t="shared" si="51"/>
        <v>0</v>
      </c>
      <c r="AX78" s="101">
        <f t="shared" si="51"/>
        <v>0</v>
      </c>
      <c r="AY78" s="101">
        <f t="shared" si="51"/>
        <v>0</v>
      </c>
      <c r="AZ78" s="101">
        <f t="shared" si="51"/>
        <v>0</v>
      </c>
      <c r="BA78" s="101">
        <f t="shared" si="51"/>
        <v>0</v>
      </c>
      <c r="BB78" s="101">
        <f t="shared" si="51"/>
        <v>0</v>
      </c>
      <c r="BC78" s="101">
        <f t="shared" si="51"/>
        <v>0</v>
      </c>
      <c r="BD78" s="101">
        <f t="shared" si="51"/>
        <v>128537072.95</v>
      </c>
      <c r="BE78" s="101">
        <f t="shared" si="51"/>
        <v>0</v>
      </c>
      <c r="BF78" s="101">
        <f t="shared" si="51"/>
        <v>128537072.95</v>
      </c>
    </row>
    <row r="79" spans="1:58" x14ac:dyDescent="0.25">
      <c r="A79" s="165" t="s">
        <v>153</v>
      </c>
      <c r="B79" s="103">
        <f>B80+B87</f>
        <v>128537072.95</v>
      </c>
      <c r="C79" s="103">
        <f>C80+C87</f>
        <v>0</v>
      </c>
      <c r="D79" s="103">
        <f t="shared" si="43"/>
        <v>128537072.95</v>
      </c>
      <c r="F79" s="103">
        <f>+F80+F87</f>
        <v>0</v>
      </c>
      <c r="G79" s="103">
        <f t="shared" ref="G79:BF79" si="52">+G80+G87</f>
        <v>0</v>
      </c>
      <c r="H79" s="103">
        <f t="shared" si="52"/>
        <v>0</v>
      </c>
      <c r="I79" s="103">
        <f t="shared" si="52"/>
        <v>0</v>
      </c>
      <c r="J79" s="103">
        <f t="shared" si="52"/>
        <v>7574626</v>
      </c>
      <c r="K79" s="103">
        <f t="shared" si="52"/>
        <v>0</v>
      </c>
      <c r="L79" s="103">
        <f t="shared" si="52"/>
        <v>17482699</v>
      </c>
      <c r="M79" s="103">
        <f t="shared" si="52"/>
        <v>0</v>
      </c>
      <c r="N79" s="103">
        <f t="shared" si="52"/>
        <v>25057325</v>
      </c>
      <c r="O79" s="103">
        <f t="shared" si="52"/>
        <v>0</v>
      </c>
      <c r="P79" s="103">
        <f t="shared" si="52"/>
        <v>15546133</v>
      </c>
      <c r="Q79" s="103">
        <f t="shared" si="52"/>
        <v>0</v>
      </c>
      <c r="R79" s="103">
        <f t="shared" si="52"/>
        <v>18506547</v>
      </c>
      <c r="S79" s="103">
        <f t="shared" si="52"/>
        <v>0</v>
      </c>
      <c r="T79" s="103">
        <f t="shared" si="52"/>
        <v>17850711</v>
      </c>
      <c r="U79" s="103">
        <f t="shared" si="52"/>
        <v>0</v>
      </c>
      <c r="V79" s="103">
        <f t="shared" si="52"/>
        <v>19713993</v>
      </c>
      <c r="W79" s="103">
        <f t="shared" si="52"/>
        <v>0</v>
      </c>
      <c r="X79" s="103">
        <f t="shared" si="52"/>
        <v>71617384</v>
      </c>
      <c r="Y79" s="103">
        <f t="shared" si="52"/>
        <v>0</v>
      </c>
      <c r="Z79" s="103">
        <f t="shared" si="52"/>
        <v>16730636</v>
      </c>
      <c r="AA79" s="103">
        <f t="shared" si="52"/>
        <v>0</v>
      </c>
      <c r="AB79" s="103">
        <f t="shared" si="52"/>
        <v>15131727.949999999</v>
      </c>
      <c r="AC79" s="103">
        <f t="shared" si="52"/>
        <v>0</v>
      </c>
      <c r="AD79" s="103">
        <f t="shared" si="52"/>
        <v>0</v>
      </c>
      <c r="AE79" s="103">
        <f t="shared" si="52"/>
        <v>0</v>
      </c>
      <c r="AF79" s="103">
        <f t="shared" si="52"/>
        <v>0</v>
      </c>
      <c r="AG79" s="103">
        <f t="shared" si="52"/>
        <v>0</v>
      </c>
      <c r="AH79" s="103">
        <f t="shared" si="52"/>
        <v>31862363.949999999</v>
      </c>
      <c r="AI79" s="103">
        <f t="shared" si="52"/>
        <v>0</v>
      </c>
      <c r="AJ79" s="103">
        <f t="shared" si="52"/>
        <v>0</v>
      </c>
      <c r="AK79" s="103">
        <f t="shared" si="52"/>
        <v>0</v>
      </c>
      <c r="AL79" s="103">
        <f t="shared" si="52"/>
        <v>0</v>
      </c>
      <c r="AM79" s="103">
        <f t="shared" si="52"/>
        <v>0</v>
      </c>
      <c r="AN79" s="103">
        <f t="shared" si="52"/>
        <v>0</v>
      </c>
      <c r="AO79" s="103">
        <f t="shared" si="52"/>
        <v>0</v>
      </c>
      <c r="AP79" s="103">
        <f t="shared" si="52"/>
        <v>0</v>
      </c>
      <c r="AQ79" s="103">
        <f t="shared" si="52"/>
        <v>0</v>
      </c>
      <c r="AR79" s="103">
        <f t="shared" si="52"/>
        <v>0</v>
      </c>
      <c r="AS79" s="103">
        <f t="shared" si="52"/>
        <v>0</v>
      </c>
      <c r="AT79" s="103">
        <f t="shared" si="52"/>
        <v>0</v>
      </c>
      <c r="AU79" s="103">
        <f t="shared" si="52"/>
        <v>0</v>
      </c>
      <c r="AV79" s="103">
        <f t="shared" si="52"/>
        <v>0</v>
      </c>
      <c r="AW79" s="103">
        <f t="shared" si="52"/>
        <v>0</v>
      </c>
      <c r="AX79" s="103">
        <f t="shared" si="52"/>
        <v>0</v>
      </c>
      <c r="AY79" s="103">
        <f t="shared" si="52"/>
        <v>0</v>
      </c>
      <c r="AZ79" s="103">
        <f t="shared" si="52"/>
        <v>0</v>
      </c>
      <c r="BA79" s="103">
        <f t="shared" si="52"/>
        <v>0</v>
      </c>
      <c r="BB79" s="103">
        <f t="shared" si="52"/>
        <v>0</v>
      </c>
      <c r="BC79" s="103">
        <f t="shared" si="52"/>
        <v>0</v>
      </c>
      <c r="BD79" s="103">
        <f t="shared" si="52"/>
        <v>128537072.95</v>
      </c>
      <c r="BE79" s="103">
        <f t="shared" si="52"/>
        <v>0</v>
      </c>
      <c r="BF79" s="103">
        <f t="shared" si="52"/>
        <v>128537072.95</v>
      </c>
    </row>
    <row r="80" spans="1:58" x14ac:dyDescent="0.25">
      <c r="A80" s="162" t="s">
        <v>154</v>
      </c>
      <c r="B80" s="106">
        <f>B81+B82+B83+B84+B85+B86</f>
        <v>128537072.95</v>
      </c>
      <c r="C80" s="106">
        <f>C81+C82+C83+C84+C85+C86</f>
        <v>0</v>
      </c>
      <c r="D80" s="106">
        <f t="shared" si="43"/>
        <v>128537072.95</v>
      </c>
      <c r="F80" s="124"/>
      <c r="G80" s="124"/>
      <c r="H80" s="124"/>
      <c r="I80" s="124"/>
      <c r="J80" s="124">
        <f>SUM(J81:J86)</f>
        <v>7574626</v>
      </c>
      <c r="K80" s="166"/>
      <c r="L80" s="124">
        <f>SUM(L81:L86)</f>
        <v>17482699</v>
      </c>
      <c r="M80" s="166"/>
      <c r="N80" s="124">
        <f>L80+J80+H80+F80</f>
        <v>25057325</v>
      </c>
      <c r="O80" s="167"/>
      <c r="P80" s="124">
        <f>SUM(P81:P86)</f>
        <v>15546133</v>
      </c>
      <c r="Q80" s="164"/>
      <c r="R80" s="124">
        <f>SUM(R81:R86)</f>
        <v>18506547</v>
      </c>
      <c r="S80" s="164"/>
      <c r="T80" s="124">
        <f>SUM(T81:T86)</f>
        <v>17850711</v>
      </c>
      <c r="U80" s="164"/>
      <c r="V80" s="124">
        <f>SUM(V81:V86)</f>
        <v>19713993</v>
      </c>
      <c r="W80" s="164"/>
      <c r="X80" s="124">
        <f>SUM(X81:X86)</f>
        <v>71617384</v>
      </c>
      <c r="Y80" s="164"/>
      <c r="Z80" s="124">
        <f>SUM(Z81:Z86)</f>
        <v>16730636</v>
      </c>
      <c r="AA80" s="164"/>
      <c r="AB80" s="124">
        <f>SUM(AB81:AB86)</f>
        <v>15131727.949999999</v>
      </c>
      <c r="AC80" s="164"/>
      <c r="AD80" s="124">
        <f>SUM(AD81:AD86)</f>
        <v>0</v>
      </c>
      <c r="AE80" s="164"/>
      <c r="AF80" s="124">
        <f>SUM(AF81:AF86)</f>
        <v>0</v>
      </c>
      <c r="AG80" s="164"/>
      <c r="AH80" s="124">
        <f>AF80+AD80+AB80+Z80</f>
        <v>31862363.949999999</v>
      </c>
      <c r="AI80" s="164"/>
      <c r="AJ80" s="124">
        <f>SUM(AJ81:AJ86)</f>
        <v>0</v>
      </c>
      <c r="AK80" s="164"/>
      <c r="AL80" s="124">
        <f>SUM(AL81:AL86)</f>
        <v>0</v>
      </c>
      <c r="AM80" s="164"/>
      <c r="AN80" s="124">
        <f>SUM(AN81:AN86)</f>
        <v>0</v>
      </c>
      <c r="AO80" s="164"/>
      <c r="AP80" s="124">
        <f>SUM(AP81:AP86)</f>
        <v>0</v>
      </c>
      <c r="AQ80" s="164"/>
      <c r="AR80" s="164"/>
      <c r="AS80" s="164"/>
      <c r="AT80" s="124">
        <f>SUM(AT81:AT86)</f>
        <v>0</v>
      </c>
      <c r="AU80" s="164"/>
      <c r="AV80" s="124">
        <f>SUM(AV81:AV86)</f>
        <v>0</v>
      </c>
      <c r="AW80" s="164"/>
      <c r="AX80" s="124">
        <f>SUM(AX81:AX86)</f>
        <v>0</v>
      </c>
      <c r="AY80" s="164"/>
      <c r="AZ80" s="124">
        <f>SUM(AZ81:AZ86)</f>
        <v>0</v>
      </c>
      <c r="BA80" s="164"/>
      <c r="BB80" s="164"/>
      <c r="BC80" s="164"/>
      <c r="BD80" s="124">
        <f t="shared" ref="BD80:BE86" si="53">+BB80+AR80+AH80+X80+N80</f>
        <v>128537072.95</v>
      </c>
      <c r="BE80" s="124">
        <f t="shared" si="53"/>
        <v>0</v>
      </c>
      <c r="BF80" s="124">
        <f t="shared" ref="BF80:BF86" si="54">+BE80+BD80</f>
        <v>128537072.95</v>
      </c>
    </row>
    <row r="81" spans="1:58" x14ac:dyDescent="0.25">
      <c r="A81" s="123" t="s">
        <v>155</v>
      </c>
      <c r="B81" s="105">
        <v>73693708.090000018</v>
      </c>
      <c r="C81" s="106">
        <v>0</v>
      </c>
      <c r="D81" s="106">
        <f t="shared" si="43"/>
        <v>73693708.090000018</v>
      </c>
      <c r="F81" s="107"/>
      <c r="G81" s="107"/>
      <c r="H81" s="107"/>
      <c r="I81" s="107"/>
      <c r="J81" s="107">
        <v>4985305</v>
      </c>
      <c r="K81" s="168"/>
      <c r="L81" s="107">
        <v>9732588</v>
      </c>
      <c r="M81" s="129"/>
      <c r="N81" s="107">
        <f>+L81+J81+H81+F81</f>
        <v>14717893</v>
      </c>
      <c r="O81" s="128"/>
      <c r="P81" s="129">
        <v>7700812</v>
      </c>
      <c r="Q81" s="129"/>
      <c r="R81" s="129">
        <v>10965333</v>
      </c>
      <c r="S81" s="129"/>
      <c r="T81" s="129">
        <v>10200501</v>
      </c>
      <c r="U81" s="129"/>
      <c r="V81" s="129">
        <v>10801742</v>
      </c>
      <c r="W81" s="129"/>
      <c r="X81" s="107">
        <f>+V81+T81+R81+P81</f>
        <v>39668388</v>
      </c>
      <c r="Y81" s="129"/>
      <c r="Z81" s="129">
        <v>10909584</v>
      </c>
      <c r="AA81" s="129"/>
      <c r="AB81" s="129">
        <v>8397843.0899999999</v>
      </c>
      <c r="AC81" s="129"/>
      <c r="AD81" s="129"/>
      <c r="AE81" s="129"/>
      <c r="AF81" s="129"/>
      <c r="AG81" s="129"/>
      <c r="AH81" s="107">
        <f>+AF81+AD81+AB81+Z81</f>
        <v>19307427.09</v>
      </c>
      <c r="AI81" s="129"/>
      <c r="AJ81" s="129"/>
      <c r="AK81" s="129"/>
      <c r="AL81" s="129"/>
      <c r="AM81" s="129"/>
      <c r="AN81" s="129"/>
      <c r="AO81" s="129"/>
      <c r="AP81" s="129"/>
      <c r="AQ81" s="129"/>
      <c r="AR81" s="107">
        <f>+AP81+AN81+AL81+AJ81</f>
        <v>0</v>
      </c>
      <c r="AS81" s="129"/>
      <c r="AT81" s="129"/>
      <c r="AU81" s="129"/>
      <c r="AV81" s="129"/>
      <c r="AW81" s="129"/>
      <c r="AX81" s="129"/>
      <c r="AY81" s="129"/>
      <c r="AZ81" s="129"/>
      <c r="BA81" s="129"/>
      <c r="BB81" s="107">
        <f t="shared" ref="BB81:BB86" si="55">+AZ81+AX81+AV81+AT81</f>
        <v>0</v>
      </c>
      <c r="BC81" s="129"/>
      <c r="BD81" s="107">
        <f t="shared" si="53"/>
        <v>73693708.090000004</v>
      </c>
      <c r="BE81" s="107">
        <f t="shared" si="53"/>
        <v>0</v>
      </c>
      <c r="BF81" s="107">
        <f t="shared" si="54"/>
        <v>73693708.090000004</v>
      </c>
    </row>
    <row r="82" spans="1:58" x14ac:dyDescent="0.25">
      <c r="A82" s="123" t="s">
        <v>156</v>
      </c>
      <c r="B82" s="105">
        <v>50699581.140000001</v>
      </c>
      <c r="C82" s="106">
        <v>0</v>
      </c>
      <c r="D82" s="106">
        <f t="shared" si="43"/>
        <v>50699581.140000001</v>
      </c>
      <c r="F82" s="107"/>
      <c r="G82" s="107"/>
      <c r="H82" s="107"/>
      <c r="I82" s="107"/>
      <c r="J82" s="107">
        <v>2589321</v>
      </c>
      <c r="K82" s="168"/>
      <c r="L82" s="107">
        <v>7750111</v>
      </c>
      <c r="M82" s="168"/>
      <c r="N82" s="107">
        <f>+L82+J82+H82+F82</f>
        <v>10339432</v>
      </c>
      <c r="O82" s="128"/>
      <c r="P82" s="129">
        <v>7845321</v>
      </c>
      <c r="Q82" s="129"/>
      <c r="R82" s="129">
        <v>7541214</v>
      </c>
      <c r="S82" s="129"/>
      <c r="T82" s="129">
        <v>7650210</v>
      </c>
      <c r="U82" s="129"/>
      <c r="V82" s="129">
        <v>8412251</v>
      </c>
      <c r="W82" s="129"/>
      <c r="X82" s="107">
        <f>+V82+T82+R82+P82</f>
        <v>31448996</v>
      </c>
      <c r="Y82" s="129"/>
      <c r="Z82" s="129">
        <v>4490222</v>
      </c>
      <c r="AA82" s="129"/>
      <c r="AB82" s="129">
        <v>4420931.1399999997</v>
      </c>
      <c r="AC82" s="129"/>
      <c r="AD82" s="129"/>
      <c r="AE82" s="129"/>
      <c r="AF82" s="129"/>
      <c r="AG82" s="129"/>
      <c r="AH82" s="107">
        <f>+AF82+AD82+AB82+Z82</f>
        <v>8911153.1400000006</v>
      </c>
      <c r="AI82" s="129"/>
      <c r="AJ82" s="129"/>
      <c r="AK82" s="129"/>
      <c r="AL82" s="129"/>
      <c r="AM82" s="129"/>
      <c r="AN82" s="129"/>
      <c r="AO82" s="129"/>
      <c r="AP82" s="129"/>
      <c r="AQ82" s="129"/>
      <c r="AR82" s="107">
        <f>+AP82+AN82+AL82+AJ82</f>
        <v>0</v>
      </c>
      <c r="AS82" s="129"/>
      <c r="AT82" s="129"/>
      <c r="AU82" s="129"/>
      <c r="AV82" s="129"/>
      <c r="AW82" s="129"/>
      <c r="AX82" s="129"/>
      <c r="AY82" s="129"/>
      <c r="AZ82" s="129"/>
      <c r="BA82" s="129"/>
      <c r="BB82" s="107">
        <f t="shared" si="55"/>
        <v>0</v>
      </c>
      <c r="BC82" s="129"/>
      <c r="BD82" s="107">
        <f t="shared" si="53"/>
        <v>50699581.140000001</v>
      </c>
      <c r="BE82" s="107">
        <f t="shared" si="53"/>
        <v>0</v>
      </c>
      <c r="BF82" s="107">
        <f t="shared" si="54"/>
        <v>50699581.140000001</v>
      </c>
    </row>
    <row r="83" spans="1:58" x14ac:dyDescent="0.25">
      <c r="A83" s="104" t="s">
        <v>157</v>
      </c>
      <c r="B83" s="105">
        <v>0</v>
      </c>
      <c r="C83" s="106">
        <v>0</v>
      </c>
      <c r="D83" s="106">
        <f t="shared" si="43"/>
        <v>0</v>
      </c>
      <c r="F83" s="107"/>
      <c r="G83" s="107"/>
      <c r="H83" s="107"/>
      <c r="I83" s="107"/>
      <c r="J83" s="107"/>
      <c r="K83" s="168"/>
      <c r="L83" s="107"/>
      <c r="M83" s="168"/>
      <c r="N83" s="107"/>
      <c r="O83" s="128"/>
      <c r="P83" s="129"/>
      <c r="Q83" s="129"/>
      <c r="R83" s="129"/>
      <c r="S83" s="129"/>
      <c r="T83" s="129"/>
      <c r="U83" s="129"/>
      <c r="V83" s="129"/>
      <c r="W83" s="129"/>
      <c r="X83" s="107"/>
      <c r="Y83" s="129"/>
      <c r="Z83" s="129"/>
      <c r="AA83" s="129"/>
      <c r="AB83" s="129"/>
      <c r="AC83" s="129"/>
      <c r="AD83" s="129"/>
      <c r="AE83" s="129"/>
      <c r="AF83" s="129"/>
      <c r="AG83" s="129"/>
      <c r="AH83" s="107"/>
      <c r="AI83" s="129"/>
      <c r="AJ83" s="129"/>
      <c r="AK83" s="129"/>
      <c r="AL83" s="129"/>
      <c r="AM83" s="129"/>
      <c r="AN83" s="129"/>
      <c r="AO83" s="129"/>
      <c r="AP83" s="129"/>
      <c r="AQ83" s="129"/>
      <c r="AR83" s="107"/>
      <c r="AS83" s="129"/>
      <c r="AT83" s="129"/>
      <c r="AU83" s="129"/>
      <c r="AV83" s="129"/>
      <c r="AW83" s="129"/>
      <c r="AX83" s="129"/>
      <c r="AY83" s="129"/>
      <c r="AZ83" s="129"/>
      <c r="BA83" s="129"/>
      <c r="BB83" s="107">
        <f t="shared" si="55"/>
        <v>0</v>
      </c>
      <c r="BC83" s="129"/>
      <c r="BD83" s="107">
        <f t="shared" si="53"/>
        <v>0</v>
      </c>
      <c r="BE83" s="107">
        <f t="shared" si="53"/>
        <v>0</v>
      </c>
      <c r="BF83" s="107">
        <f t="shared" si="54"/>
        <v>0</v>
      </c>
    </row>
    <row r="84" spans="1:58" x14ac:dyDescent="0.25">
      <c r="A84" s="123" t="s">
        <v>158</v>
      </c>
      <c r="B84" s="105">
        <v>1575577.35</v>
      </c>
      <c r="C84" s="106">
        <v>0</v>
      </c>
      <c r="D84" s="106">
        <f t="shared" si="43"/>
        <v>1575577.35</v>
      </c>
      <c r="F84" s="107"/>
      <c r="G84" s="107"/>
      <c r="H84" s="107"/>
      <c r="I84" s="107"/>
      <c r="J84" s="107"/>
      <c r="K84" s="168"/>
      <c r="L84" s="107"/>
      <c r="M84" s="168"/>
      <c r="N84" s="107">
        <f>+L84+J84+H84+F84</f>
        <v>0</v>
      </c>
      <c r="O84" s="128"/>
      <c r="P84" s="129"/>
      <c r="Q84" s="129"/>
      <c r="R84" s="129"/>
      <c r="S84" s="129"/>
      <c r="T84" s="129"/>
      <c r="U84" s="129"/>
      <c r="V84" s="129">
        <v>500000</v>
      </c>
      <c r="W84" s="129"/>
      <c r="X84" s="107">
        <f>+V84+T84+R84+P84</f>
        <v>500000</v>
      </c>
      <c r="Y84" s="129"/>
      <c r="Z84" s="129">
        <v>650000</v>
      </c>
      <c r="AA84" s="129"/>
      <c r="AB84" s="129">
        <v>425577.35000000009</v>
      </c>
      <c r="AC84" s="129"/>
      <c r="AD84" s="129"/>
      <c r="AE84" s="129"/>
      <c r="AF84" s="129"/>
      <c r="AG84" s="129"/>
      <c r="AH84" s="107">
        <f>+AF84+AD84+AB84+Z84</f>
        <v>1075577.3500000001</v>
      </c>
      <c r="AI84" s="129"/>
      <c r="AJ84" s="129"/>
      <c r="AK84" s="129"/>
      <c r="AL84" s="129"/>
      <c r="AM84" s="129"/>
      <c r="AN84" s="129"/>
      <c r="AO84" s="169">
        <v>0</v>
      </c>
      <c r="AP84" s="129">
        <v>0</v>
      </c>
      <c r="AQ84" s="129">
        <v>0</v>
      </c>
      <c r="AR84" s="107">
        <f>+AP84+AN84+AL84+AJ84</f>
        <v>0</v>
      </c>
      <c r="AS84" s="129"/>
      <c r="AT84" s="129"/>
      <c r="AU84" s="129"/>
      <c r="AV84" s="129"/>
      <c r="AW84" s="129"/>
      <c r="AX84" s="129"/>
      <c r="AY84" s="129"/>
      <c r="AZ84" s="129"/>
      <c r="BA84" s="129"/>
      <c r="BB84" s="107">
        <f t="shared" si="55"/>
        <v>0</v>
      </c>
      <c r="BC84" s="129"/>
      <c r="BD84" s="107">
        <f t="shared" si="53"/>
        <v>1575577.35</v>
      </c>
      <c r="BE84" s="107">
        <f t="shared" si="53"/>
        <v>0</v>
      </c>
      <c r="BF84" s="107">
        <f t="shared" si="54"/>
        <v>1575577.35</v>
      </c>
    </row>
    <row r="85" spans="1:58" x14ac:dyDescent="0.25">
      <c r="A85" s="123" t="s">
        <v>159</v>
      </c>
      <c r="B85" s="105">
        <v>1294332.74</v>
      </c>
      <c r="C85" s="106">
        <v>0</v>
      </c>
      <c r="D85" s="106">
        <f t="shared" si="43"/>
        <v>1294332.74</v>
      </c>
      <c r="F85" s="107"/>
      <c r="G85" s="107"/>
      <c r="H85" s="107"/>
      <c r="I85" s="107"/>
      <c r="J85" s="107"/>
      <c r="K85" s="168"/>
      <c r="L85" s="107"/>
      <c r="M85" s="168"/>
      <c r="N85" s="107">
        <f>+L85+J85+H85+F85</f>
        <v>0</v>
      </c>
      <c r="O85" s="128"/>
      <c r="P85" s="129"/>
      <c r="Q85" s="129"/>
      <c r="R85" s="129"/>
      <c r="S85" s="129"/>
      <c r="T85" s="129"/>
      <c r="U85" s="129"/>
      <c r="V85" s="129"/>
      <c r="W85" s="129"/>
      <c r="X85" s="107">
        <f>+V85+T85+R85+P85</f>
        <v>0</v>
      </c>
      <c r="Y85" s="129"/>
      <c r="Z85" s="129">
        <v>290330</v>
      </c>
      <c r="AA85" s="129"/>
      <c r="AB85" s="129">
        <v>1004002.74</v>
      </c>
      <c r="AC85" s="129"/>
      <c r="AD85" s="129"/>
      <c r="AE85" s="129"/>
      <c r="AF85" s="129"/>
      <c r="AG85" s="129"/>
      <c r="AH85" s="107">
        <f>+AF85+AD85+AB85+Z85</f>
        <v>1294332.74</v>
      </c>
      <c r="AI85" s="129"/>
      <c r="AJ85" s="129"/>
      <c r="AK85" s="129"/>
      <c r="AL85" s="129"/>
      <c r="AM85" s="129"/>
      <c r="AN85" s="129"/>
      <c r="AO85" s="129"/>
      <c r="AP85" s="129"/>
      <c r="AQ85" s="129">
        <v>0</v>
      </c>
      <c r="AR85" s="107">
        <f>+AP85+AN85+AL85+AJ85</f>
        <v>0</v>
      </c>
      <c r="AS85" s="129"/>
      <c r="AT85" s="129"/>
      <c r="AU85" s="129"/>
      <c r="AV85" s="129"/>
      <c r="AW85" s="129"/>
      <c r="AX85" s="129"/>
      <c r="AY85" s="129"/>
      <c r="AZ85" s="129"/>
      <c r="BA85" s="129"/>
      <c r="BB85" s="107">
        <f t="shared" si="55"/>
        <v>0</v>
      </c>
      <c r="BC85" s="129"/>
      <c r="BD85" s="107">
        <f t="shared" si="53"/>
        <v>1294332.74</v>
      </c>
      <c r="BE85" s="107">
        <f t="shared" si="53"/>
        <v>0</v>
      </c>
      <c r="BF85" s="107">
        <f t="shared" si="54"/>
        <v>1294332.74</v>
      </c>
    </row>
    <row r="86" spans="1:58" x14ac:dyDescent="0.25">
      <c r="A86" s="123" t="s">
        <v>160</v>
      </c>
      <c r="B86" s="105">
        <v>1273873.6299999999</v>
      </c>
      <c r="C86" s="106"/>
      <c r="D86" s="106">
        <f t="shared" si="43"/>
        <v>1273873.6299999999</v>
      </c>
      <c r="F86" s="107"/>
      <c r="G86" s="107"/>
      <c r="H86" s="107"/>
      <c r="I86" s="107"/>
      <c r="J86" s="107"/>
      <c r="K86" s="168"/>
      <c r="L86" s="107"/>
      <c r="M86" s="168"/>
      <c r="N86" s="107">
        <f>+L86+J86+H86+F86</f>
        <v>0</v>
      </c>
      <c r="O86" s="128"/>
      <c r="P86" s="129"/>
      <c r="Q86" s="129"/>
      <c r="R86" s="129"/>
      <c r="S86" s="129"/>
      <c r="T86" s="129"/>
      <c r="U86" s="129"/>
      <c r="V86" s="129"/>
      <c r="W86" s="129"/>
      <c r="X86" s="107">
        <f>+V86+T86+R86+P86</f>
        <v>0</v>
      </c>
      <c r="Y86" s="129"/>
      <c r="Z86" s="129">
        <v>390500</v>
      </c>
      <c r="AA86" s="129"/>
      <c r="AB86" s="129">
        <v>883373.62999999989</v>
      </c>
      <c r="AC86" s="129"/>
      <c r="AD86" s="129"/>
      <c r="AE86" s="129"/>
      <c r="AF86" s="129"/>
      <c r="AG86" s="129"/>
      <c r="AH86" s="107">
        <f>+AF86+AD86+AB86+Z86</f>
        <v>1273873.6299999999</v>
      </c>
      <c r="AI86" s="129"/>
      <c r="AJ86" s="129"/>
      <c r="AK86" s="129"/>
      <c r="AL86" s="129"/>
      <c r="AM86" s="129"/>
      <c r="AN86" s="129"/>
      <c r="AO86" s="129"/>
      <c r="AP86" s="129"/>
      <c r="AQ86" s="129"/>
      <c r="AR86" s="107">
        <f>+AP86+AN86+AL86+AJ86</f>
        <v>0</v>
      </c>
      <c r="AS86" s="129"/>
      <c r="AT86" s="129"/>
      <c r="AU86" s="129"/>
      <c r="AV86" s="129"/>
      <c r="AW86" s="129"/>
      <c r="AX86" s="129"/>
      <c r="AY86" s="129"/>
      <c r="AZ86" s="129"/>
      <c r="BA86" s="129"/>
      <c r="BB86" s="107">
        <f t="shared" si="55"/>
        <v>0</v>
      </c>
      <c r="BC86" s="129"/>
      <c r="BD86" s="107">
        <f t="shared" si="53"/>
        <v>1273873.6299999999</v>
      </c>
      <c r="BE86" s="107">
        <f t="shared" si="53"/>
        <v>0</v>
      </c>
      <c r="BF86" s="107">
        <f t="shared" si="54"/>
        <v>1273873.6299999999</v>
      </c>
    </row>
    <row r="87" spans="1:58" x14ac:dyDescent="0.25">
      <c r="A87" s="162" t="s">
        <v>161</v>
      </c>
      <c r="B87" s="106">
        <f>B88+B89+B90+B91+B92</f>
        <v>0</v>
      </c>
      <c r="C87" s="106">
        <f>C88+C89+C90+C91+C92</f>
        <v>0</v>
      </c>
      <c r="D87" s="106">
        <f t="shared" si="43"/>
        <v>0</v>
      </c>
      <c r="F87" s="106">
        <f t="shared" ref="F87:BF87" si="56">SUM(F88:F92)</f>
        <v>0</v>
      </c>
      <c r="G87" s="106">
        <f t="shared" si="56"/>
        <v>0</v>
      </c>
      <c r="H87" s="106">
        <f t="shared" si="56"/>
        <v>0</v>
      </c>
      <c r="I87" s="106">
        <f t="shared" si="56"/>
        <v>0</v>
      </c>
      <c r="J87" s="106">
        <f t="shared" si="56"/>
        <v>0</v>
      </c>
      <c r="K87" s="106">
        <f t="shared" si="56"/>
        <v>0</v>
      </c>
      <c r="L87" s="106">
        <f t="shared" si="56"/>
        <v>0</v>
      </c>
      <c r="M87" s="106">
        <f t="shared" si="56"/>
        <v>0</v>
      </c>
      <c r="N87" s="106">
        <f t="shared" si="56"/>
        <v>0</v>
      </c>
      <c r="O87" s="106">
        <f t="shared" si="56"/>
        <v>0</v>
      </c>
      <c r="P87" s="106">
        <f t="shared" si="56"/>
        <v>0</v>
      </c>
      <c r="Q87" s="106">
        <f t="shared" si="56"/>
        <v>0</v>
      </c>
      <c r="R87" s="106">
        <f t="shared" si="56"/>
        <v>0</v>
      </c>
      <c r="S87" s="106">
        <f t="shared" si="56"/>
        <v>0</v>
      </c>
      <c r="T87" s="106">
        <f t="shared" si="56"/>
        <v>0</v>
      </c>
      <c r="U87" s="106">
        <f t="shared" si="56"/>
        <v>0</v>
      </c>
      <c r="V87" s="106">
        <f t="shared" si="56"/>
        <v>0</v>
      </c>
      <c r="W87" s="106">
        <f t="shared" si="56"/>
        <v>0</v>
      </c>
      <c r="X87" s="106">
        <f t="shared" si="56"/>
        <v>0</v>
      </c>
      <c r="Y87" s="106">
        <f t="shared" si="56"/>
        <v>0</v>
      </c>
      <c r="Z87" s="106">
        <f t="shared" si="56"/>
        <v>0</v>
      </c>
      <c r="AA87" s="106">
        <f t="shared" si="56"/>
        <v>0</v>
      </c>
      <c r="AB87" s="106">
        <f t="shared" si="56"/>
        <v>0</v>
      </c>
      <c r="AC87" s="106">
        <f t="shared" si="56"/>
        <v>0</v>
      </c>
      <c r="AD87" s="106">
        <f t="shared" si="56"/>
        <v>0</v>
      </c>
      <c r="AE87" s="106">
        <f t="shared" si="56"/>
        <v>0</v>
      </c>
      <c r="AF87" s="106">
        <f t="shared" si="56"/>
        <v>0</v>
      </c>
      <c r="AG87" s="106">
        <f t="shared" si="56"/>
        <v>0</v>
      </c>
      <c r="AH87" s="106">
        <f t="shared" si="56"/>
        <v>0</v>
      </c>
      <c r="AI87" s="106">
        <f t="shared" si="56"/>
        <v>0</v>
      </c>
      <c r="AJ87" s="106">
        <f t="shared" si="56"/>
        <v>0</v>
      </c>
      <c r="AK87" s="106">
        <f t="shared" si="56"/>
        <v>0</v>
      </c>
      <c r="AL87" s="106">
        <f t="shared" si="56"/>
        <v>0</v>
      </c>
      <c r="AM87" s="106">
        <f t="shared" si="56"/>
        <v>0</v>
      </c>
      <c r="AN87" s="106">
        <f t="shared" si="56"/>
        <v>0</v>
      </c>
      <c r="AO87" s="106">
        <f t="shared" si="56"/>
        <v>0</v>
      </c>
      <c r="AP87" s="106">
        <f t="shared" si="56"/>
        <v>0</v>
      </c>
      <c r="AQ87" s="106">
        <f t="shared" si="56"/>
        <v>0</v>
      </c>
      <c r="AR87" s="106">
        <f t="shared" si="56"/>
        <v>0</v>
      </c>
      <c r="AS87" s="106">
        <f t="shared" si="56"/>
        <v>0</v>
      </c>
      <c r="AT87" s="106">
        <f t="shared" si="56"/>
        <v>0</v>
      </c>
      <c r="AU87" s="106">
        <f t="shared" si="56"/>
        <v>0</v>
      </c>
      <c r="AV87" s="106">
        <f t="shared" si="56"/>
        <v>0</v>
      </c>
      <c r="AW87" s="106">
        <f t="shared" si="56"/>
        <v>0</v>
      </c>
      <c r="AX87" s="106">
        <f t="shared" si="56"/>
        <v>0</v>
      </c>
      <c r="AY87" s="106">
        <f t="shared" si="56"/>
        <v>0</v>
      </c>
      <c r="AZ87" s="106">
        <f t="shared" si="56"/>
        <v>0</v>
      </c>
      <c r="BA87" s="106">
        <f t="shared" si="56"/>
        <v>0</v>
      </c>
      <c r="BB87" s="106">
        <f t="shared" si="56"/>
        <v>0</v>
      </c>
      <c r="BC87" s="106">
        <f t="shared" si="56"/>
        <v>0</v>
      </c>
      <c r="BD87" s="106">
        <f t="shared" si="56"/>
        <v>0</v>
      </c>
      <c r="BE87" s="106">
        <f t="shared" si="56"/>
        <v>0</v>
      </c>
      <c r="BF87" s="106">
        <f t="shared" si="56"/>
        <v>0</v>
      </c>
    </row>
    <row r="88" spans="1:58" x14ac:dyDescent="0.25">
      <c r="A88" s="104" t="s">
        <v>155</v>
      </c>
      <c r="B88" s="105">
        <v>0</v>
      </c>
      <c r="C88" s="105">
        <v>0</v>
      </c>
      <c r="D88" s="106">
        <f t="shared" si="43"/>
        <v>0</v>
      </c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28"/>
      <c r="R88" s="129"/>
      <c r="S88" s="129"/>
      <c r="T88" s="129"/>
      <c r="U88" s="129"/>
      <c r="V88" s="129"/>
      <c r="W88" s="129"/>
      <c r="X88" s="129"/>
      <c r="Y88" s="107"/>
      <c r="Z88" s="168"/>
      <c r="AA88" s="129"/>
      <c r="AB88" s="129"/>
      <c r="AC88" s="129"/>
      <c r="AD88" s="129"/>
      <c r="AE88" s="129"/>
      <c r="AF88" s="129"/>
      <c r="AG88" s="129"/>
      <c r="AH88" s="129"/>
      <c r="AI88" s="107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07">
        <f>+BC88+AS88+AI88+Y88+O88</f>
        <v>0</v>
      </c>
      <c r="BF88" s="107">
        <f>+BE88+BD88</f>
        <v>0</v>
      </c>
    </row>
    <row r="89" spans="1:58" x14ac:dyDescent="0.25">
      <c r="A89" s="104" t="s">
        <v>156</v>
      </c>
      <c r="B89" s="105">
        <v>0</v>
      </c>
      <c r="C89" s="105">
        <v>0</v>
      </c>
      <c r="D89" s="106">
        <f t="shared" si="43"/>
        <v>0</v>
      </c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28"/>
      <c r="R89" s="129"/>
      <c r="S89" s="129"/>
      <c r="T89" s="129"/>
      <c r="U89" s="129"/>
      <c r="V89" s="129"/>
      <c r="W89" s="129"/>
      <c r="X89" s="129"/>
      <c r="Y89" s="107"/>
      <c r="Z89" s="168"/>
      <c r="AA89" s="129"/>
      <c r="AB89" s="129"/>
      <c r="AC89" s="129"/>
      <c r="AD89" s="129"/>
      <c r="AE89" s="129"/>
      <c r="AF89" s="129"/>
      <c r="AG89" s="129"/>
      <c r="AH89" s="129"/>
      <c r="AI89" s="107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07">
        <f>+BC89+AS89+AI89+Y89+O89</f>
        <v>0</v>
      </c>
      <c r="BF89" s="107">
        <f>+BE89+BD89</f>
        <v>0</v>
      </c>
    </row>
    <row r="90" spans="1:58" x14ac:dyDescent="0.25">
      <c r="A90" s="104" t="s">
        <v>158</v>
      </c>
      <c r="B90" s="105">
        <v>0</v>
      </c>
      <c r="C90" s="105">
        <v>0</v>
      </c>
      <c r="D90" s="106">
        <f t="shared" si="43"/>
        <v>0</v>
      </c>
      <c r="F90" s="107"/>
      <c r="G90" s="107"/>
      <c r="H90" s="107"/>
      <c r="I90" s="107"/>
      <c r="J90" s="107"/>
      <c r="K90" s="107"/>
      <c r="L90" s="107"/>
      <c r="M90" s="107"/>
      <c r="N90" s="107"/>
      <c r="O90" s="128"/>
      <c r="P90" s="129"/>
      <c r="Q90" s="129"/>
      <c r="R90" s="129"/>
      <c r="S90" s="129"/>
      <c r="T90" s="129"/>
      <c r="U90" s="129"/>
      <c r="V90" s="129"/>
      <c r="W90" s="129"/>
      <c r="X90" s="129"/>
      <c r="Y90" s="107"/>
      <c r="Z90" s="129"/>
      <c r="AA90" s="129"/>
      <c r="AB90" s="129"/>
      <c r="AC90" s="129"/>
      <c r="AD90" s="129"/>
      <c r="AE90" s="129"/>
      <c r="AF90" s="129"/>
      <c r="AG90" s="129"/>
      <c r="AH90" s="129"/>
      <c r="AI90" s="107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07">
        <f>+BC90+AS90+AI90+Y90+O90</f>
        <v>0</v>
      </c>
      <c r="BF90" s="107">
        <f>+BE90+BD90</f>
        <v>0</v>
      </c>
    </row>
    <row r="91" spans="1:58" x14ac:dyDescent="0.25">
      <c r="A91" s="104" t="s">
        <v>159</v>
      </c>
      <c r="B91" s="105">
        <v>0</v>
      </c>
      <c r="C91" s="105">
        <v>0</v>
      </c>
      <c r="D91" s="106">
        <f t="shared" si="43"/>
        <v>0</v>
      </c>
      <c r="F91" s="107"/>
      <c r="G91" s="107"/>
      <c r="H91" s="107"/>
      <c r="I91" s="107"/>
      <c r="J91" s="107"/>
      <c r="K91" s="107"/>
      <c r="L91" s="107"/>
      <c r="M91" s="107"/>
      <c r="N91" s="107"/>
      <c r="O91" s="128"/>
      <c r="P91" s="129"/>
      <c r="Q91" s="129"/>
      <c r="R91" s="129"/>
      <c r="S91" s="129"/>
      <c r="T91" s="129"/>
      <c r="U91" s="129"/>
      <c r="V91" s="129"/>
      <c r="W91" s="129"/>
      <c r="X91" s="129"/>
      <c r="Y91" s="107"/>
      <c r="Z91" s="129"/>
      <c r="AA91" s="129"/>
      <c r="AB91" s="129"/>
      <c r="AC91" s="129"/>
      <c r="AD91" s="129"/>
      <c r="AE91" s="129"/>
      <c r="AF91" s="129"/>
      <c r="AG91" s="129"/>
      <c r="AH91" s="129"/>
      <c r="AI91" s="107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07">
        <f>+BC91+AS91+AI91+Y91+O91</f>
        <v>0</v>
      </c>
      <c r="BF91" s="107">
        <f>+BE91+BD91</f>
        <v>0</v>
      </c>
    </row>
    <row r="92" spans="1:58" x14ac:dyDescent="0.25">
      <c r="A92" s="104" t="s">
        <v>160</v>
      </c>
      <c r="B92" s="105">
        <v>0</v>
      </c>
      <c r="C92" s="105">
        <v>0</v>
      </c>
      <c r="D92" s="106">
        <f t="shared" si="43"/>
        <v>0</v>
      </c>
      <c r="F92" s="107"/>
      <c r="G92" s="107"/>
      <c r="H92" s="107"/>
      <c r="I92" s="107"/>
      <c r="J92" s="107"/>
      <c r="K92" s="107"/>
      <c r="L92" s="107"/>
      <c r="M92" s="107"/>
      <c r="N92" s="107"/>
      <c r="O92" s="128"/>
      <c r="P92" s="129"/>
      <c r="Q92" s="129"/>
      <c r="R92" s="129"/>
      <c r="S92" s="129"/>
      <c r="T92" s="129"/>
      <c r="U92" s="129"/>
      <c r="V92" s="129"/>
      <c r="W92" s="129"/>
      <c r="X92" s="129"/>
      <c r="Y92" s="107"/>
      <c r="Z92" s="129"/>
      <c r="AA92" s="129"/>
      <c r="AB92" s="129"/>
      <c r="AC92" s="129"/>
      <c r="AD92" s="129"/>
      <c r="AE92" s="129"/>
      <c r="AF92" s="129"/>
      <c r="AG92" s="129"/>
      <c r="AH92" s="129"/>
      <c r="AI92" s="107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07">
        <f>+BC92+AS92+AI92+Y92+O92</f>
        <v>0</v>
      </c>
      <c r="BF92" s="107">
        <f>+BE92+BD92</f>
        <v>0</v>
      </c>
    </row>
    <row r="93" spans="1:58" x14ac:dyDescent="0.25">
      <c r="A93" s="170" t="s">
        <v>162</v>
      </c>
      <c r="B93" s="101">
        <f>B94+B95+B96+B97+B98+B99+B100+B108</f>
        <v>27109492</v>
      </c>
      <c r="C93" s="101">
        <f>C94+C95+C96+C97+C98+C99+C100+C108</f>
        <v>915000</v>
      </c>
      <c r="D93" s="101">
        <f t="shared" si="43"/>
        <v>28024492</v>
      </c>
      <c r="F93" s="101">
        <f>SUM(F94:F100)+F108</f>
        <v>0</v>
      </c>
      <c r="G93" s="101">
        <f t="shared" ref="G93:BF93" si="57">SUM(G94:G100)+G108</f>
        <v>0</v>
      </c>
      <c r="H93" s="101">
        <f t="shared" si="57"/>
        <v>0</v>
      </c>
      <c r="I93" s="101">
        <f t="shared" si="57"/>
        <v>0</v>
      </c>
      <c r="J93" s="101">
        <f t="shared" si="57"/>
        <v>1293800</v>
      </c>
      <c r="K93" s="101">
        <f t="shared" si="57"/>
        <v>0</v>
      </c>
      <c r="L93" s="101">
        <f t="shared" si="57"/>
        <v>1913393</v>
      </c>
      <c r="M93" s="101">
        <f t="shared" si="57"/>
        <v>0</v>
      </c>
      <c r="N93" s="101">
        <f t="shared" si="57"/>
        <v>3207193</v>
      </c>
      <c r="O93" s="101">
        <f t="shared" si="57"/>
        <v>915000</v>
      </c>
      <c r="P93" s="101">
        <f t="shared" si="57"/>
        <v>1692800</v>
      </c>
      <c r="Q93" s="101">
        <f t="shared" si="57"/>
        <v>0</v>
      </c>
      <c r="R93" s="101">
        <f t="shared" si="57"/>
        <v>1597800</v>
      </c>
      <c r="S93" s="101">
        <f t="shared" si="57"/>
        <v>0</v>
      </c>
      <c r="T93" s="101">
        <f t="shared" si="57"/>
        <v>1581950</v>
      </c>
      <c r="U93" s="101">
        <f t="shared" si="57"/>
        <v>0</v>
      </c>
      <c r="V93" s="101">
        <f t="shared" si="57"/>
        <v>1786610</v>
      </c>
      <c r="W93" s="101">
        <f t="shared" si="57"/>
        <v>0</v>
      </c>
      <c r="X93" s="101">
        <f t="shared" si="57"/>
        <v>6659160</v>
      </c>
      <c r="Y93" s="101">
        <f t="shared" si="57"/>
        <v>0</v>
      </c>
      <c r="Z93" s="101">
        <f t="shared" si="57"/>
        <v>1786250</v>
      </c>
      <c r="AA93" s="101">
        <f t="shared" si="57"/>
        <v>0</v>
      </c>
      <c r="AB93" s="101">
        <f t="shared" si="57"/>
        <v>1861250</v>
      </c>
      <c r="AC93" s="101">
        <f t="shared" si="57"/>
        <v>0</v>
      </c>
      <c r="AD93" s="101">
        <f t="shared" si="57"/>
        <v>1861250</v>
      </c>
      <c r="AE93" s="101">
        <f t="shared" si="57"/>
        <v>0</v>
      </c>
      <c r="AF93" s="101">
        <f t="shared" si="57"/>
        <v>1936250</v>
      </c>
      <c r="AG93" s="101">
        <f t="shared" si="57"/>
        <v>0</v>
      </c>
      <c r="AH93" s="101">
        <f t="shared" si="57"/>
        <v>7445000</v>
      </c>
      <c r="AI93" s="101">
        <f t="shared" si="57"/>
        <v>0</v>
      </c>
      <c r="AJ93" s="101">
        <f t="shared" si="57"/>
        <v>1776250</v>
      </c>
      <c r="AK93" s="101">
        <f t="shared" si="57"/>
        <v>0</v>
      </c>
      <c r="AL93" s="101">
        <f t="shared" si="57"/>
        <v>1638789</v>
      </c>
      <c r="AM93" s="101">
        <f t="shared" si="57"/>
        <v>0</v>
      </c>
      <c r="AN93" s="101">
        <f t="shared" si="57"/>
        <v>1076250</v>
      </c>
      <c r="AO93" s="101">
        <f t="shared" si="57"/>
        <v>0</v>
      </c>
      <c r="AP93" s="101">
        <f t="shared" si="57"/>
        <v>1226250</v>
      </c>
      <c r="AQ93" s="101">
        <f t="shared" si="57"/>
        <v>0</v>
      </c>
      <c r="AR93" s="101">
        <f t="shared" si="57"/>
        <v>5717539</v>
      </c>
      <c r="AS93" s="101">
        <f t="shared" si="57"/>
        <v>0</v>
      </c>
      <c r="AT93" s="101">
        <f t="shared" si="57"/>
        <v>976250</v>
      </c>
      <c r="AU93" s="101">
        <f t="shared" si="57"/>
        <v>0</v>
      </c>
      <c r="AV93" s="101">
        <f t="shared" si="57"/>
        <v>876850</v>
      </c>
      <c r="AW93" s="101">
        <f t="shared" si="57"/>
        <v>0</v>
      </c>
      <c r="AX93" s="101">
        <f t="shared" si="57"/>
        <v>1033750</v>
      </c>
      <c r="AY93" s="101">
        <f t="shared" si="57"/>
        <v>0</v>
      </c>
      <c r="AZ93" s="101">
        <f t="shared" si="57"/>
        <v>1193750</v>
      </c>
      <c r="BA93" s="101">
        <f t="shared" si="57"/>
        <v>0</v>
      </c>
      <c r="BB93" s="101">
        <f t="shared" si="57"/>
        <v>4080599</v>
      </c>
      <c r="BC93" s="101">
        <f t="shared" si="57"/>
        <v>0</v>
      </c>
      <c r="BD93" s="101">
        <f t="shared" si="57"/>
        <v>27109491</v>
      </c>
      <c r="BE93" s="101">
        <f t="shared" si="57"/>
        <v>915000</v>
      </c>
      <c r="BF93" s="101">
        <f t="shared" si="57"/>
        <v>28024491</v>
      </c>
    </row>
    <row r="94" spans="1:58" x14ac:dyDescent="0.25">
      <c r="A94" s="171" t="s">
        <v>163</v>
      </c>
      <c r="B94" s="172">
        <v>4906000</v>
      </c>
      <c r="C94" s="172">
        <v>0</v>
      </c>
      <c r="D94" s="106">
        <f t="shared" si="43"/>
        <v>4906000</v>
      </c>
      <c r="F94" s="107">
        <v>0</v>
      </c>
      <c r="G94" s="107"/>
      <c r="H94" s="107">
        <v>0</v>
      </c>
      <c r="I94" s="107"/>
      <c r="J94" s="107">
        <v>245300</v>
      </c>
      <c r="K94" s="107"/>
      <c r="L94" s="107">
        <v>285300</v>
      </c>
      <c r="M94" s="107"/>
      <c r="N94" s="108">
        <f t="shared" ref="N94:O96" si="58">+L94+J94+H94+F94</f>
        <v>530600</v>
      </c>
      <c r="O94" s="108">
        <f t="shared" si="58"/>
        <v>0</v>
      </c>
      <c r="P94" s="107">
        <v>265300</v>
      </c>
      <c r="Q94" s="109"/>
      <c r="R94" s="107">
        <v>265300</v>
      </c>
      <c r="S94" s="109"/>
      <c r="T94" s="107">
        <v>265300</v>
      </c>
      <c r="U94" s="109"/>
      <c r="V94" s="107">
        <v>295300</v>
      </c>
      <c r="W94" s="109"/>
      <c r="X94" s="108">
        <f t="shared" ref="X94:Y96" si="59">+V94+T94+R94+P94</f>
        <v>1091200</v>
      </c>
      <c r="Y94" s="108">
        <f t="shared" si="59"/>
        <v>0</v>
      </c>
      <c r="Z94" s="107">
        <v>265300</v>
      </c>
      <c r="AA94" s="109"/>
      <c r="AB94" s="107">
        <v>265300</v>
      </c>
      <c r="AC94" s="109"/>
      <c r="AD94" s="107">
        <v>265300</v>
      </c>
      <c r="AE94" s="109"/>
      <c r="AF94" s="107">
        <v>295300</v>
      </c>
      <c r="AG94" s="109"/>
      <c r="AH94" s="108">
        <f t="shared" ref="AH94:AI96" si="60">+AF94+AD94+AB94+Z94</f>
        <v>1091200</v>
      </c>
      <c r="AI94" s="108">
        <f t="shared" si="60"/>
        <v>0</v>
      </c>
      <c r="AJ94" s="107">
        <v>265300</v>
      </c>
      <c r="AK94" s="109"/>
      <c r="AL94" s="107">
        <v>265300</v>
      </c>
      <c r="AM94" s="109"/>
      <c r="AN94" s="107">
        <v>265300</v>
      </c>
      <c r="AO94" s="109"/>
      <c r="AP94" s="107">
        <v>295300</v>
      </c>
      <c r="AQ94" s="109"/>
      <c r="AR94" s="108">
        <f t="shared" ref="AR94:AS96" si="61">+AP94+AN94+AL94+AJ94</f>
        <v>1091200</v>
      </c>
      <c r="AS94" s="108">
        <f t="shared" si="61"/>
        <v>0</v>
      </c>
      <c r="AT94" s="107">
        <v>285300</v>
      </c>
      <c r="AU94" s="109"/>
      <c r="AV94" s="107">
        <v>285900</v>
      </c>
      <c r="AW94" s="109"/>
      <c r="AX94" s="107">
        <v>265300</v>
      </c>
      <c r="AY94" s="107"/>
      <c r="AZ94" s="107">
        <v>265300</v>
      </c>
      <c r="BA94" s="109"/>
      <c r="BB94" s="108">
        <f>+AZ94+AX94+AV94+AT94-1</f>
        <v>1101799</v>
      </c>
      <c r="BC94" s="108">
        <f t="shared" ref="BB94:BC96" si="62">+BA94+AY94+AW94+AU94</f>
        <v>0</v>
      </c>
      <c r="BD94" s="108">
        <f t="shared" ref="BD94:BE100" si="63">+BB94+AR94+AH94+X94+N94</f>
        <v>4905999</v>
      </c>
      <c r="BE94" s="108">
        <f t="shared" si="63"/>
        <v>0</v>
      </c>
      <c r="BF94" s="108">
        <f t="shared" ref="BF94:BF99" si="64">+BE94+BD94</f>
        <v>4905999</v>
      </c>
    </row>
    <row r="95" spans="1:58" x14ac:dyDescent="0.25">
      <c r="A95" s="171" t="s">
        <v>164</v>
      </c>
      <c r="B95" s="172">
        <v>660000</v>
      </c>
      <c r="C95" s="172">
        <v>0</v>
      </c>
      <c r="D95" s="106">
        <f t="shared" si="43"/>
        <v>660000</v>
      </c>
      <c r="F95" s="108">
        <v>0</v>
      </c>
      <c r="G95" s="108"/>
      <c r="H95" s="108">
        <v>0</v>
      </c>
      <c r="I95" s="108"/>
      <c r="J95" s="108">
        <v>41000</v>
      </c>
      <c r="K95" s="108"/>
      <c r="L95" s="108">
        <v>50000</v>
      </c>
      <c r="M95" s="108"/>
      <c r="N95" s="108">
        <f t="shared" si="58"/>
        <v>91000</v>
      </c>
      <c r="O95" s="108">
        <f t="shared" si="58"/>
        <v>0</v>
      </c>
      <c r="P95" s="108">
        <v>50000</v>
      </c>
      <c r="Q95" s="109"/>
      <c r="R95" s="108">
        <v>45000</v>
      </c>
      <c r="S95" s="109"/>
      <c r="T95" s="108">
        <v>39150</v>
      </c>
      <c r="U95" s="109"/>
      <c r="V95" s="108">
        <f>15000*2.23</f>
        <v>33450</v>
      </c>
      <c r="W95" s="109"/>
      <c r="X95" s="108">
        <f t="shared" si="59"/>
        <v>167600</v>
      </c>
      <c r="Y95" s="108">
        <f t="shared" si="59"/>
        <v>0</v>
      </c>
      <c r="Z95" s="108">
        <f>15000*2.23</f>
        <v>33450</v>
      </c>
      <c r="AA95" s="109"/>
      <c r="AB95" s="108">
        <f>15000*2.23</f>
        <v>33450</v>
      </c>
      <c r="AC95" s="109"/>
      <c r="AD95" s="108">
        <f>15000*2.23</f>
        <v>33450</v>
      </c>
      <c r="AE95" s="109"/>
      <c r="AF95" s="108">
        <f>15000*2.23</f>
        <v>33450</v>
      </c>
      <c r="AG95" s="109"/>
      <c r="AH95" s="108">
        <f t="shared" si="60"/>
        <v>133800</v>
      </c>
      <c r="AI95" s="108">
        <f t="shared" si="60"/>
        <v>0</v>
      </c>
      <c r="AJ95" s="108">
        <f>15000*2.23</f>
        <v>33450</v>
      </c>
      <c r="AK95" s="109"/>
      <c r="AL95" s="108">
        <f>15000*2.23</f>
        <v>33450</v>
      </c>
      <c r="AM95" s="109"/>
      <c r="AN95" s="108">
        <f>15000*2.23</f>
        <v>33450</v>
      </c>
      <c r="AO95" s="109"/>
      <c r="AP95" s="108">
        <f>15000*2.23</f>
        <v>33450</v>
      </c>
      <c r="AQ95" s="109"/>
      <c r="AR95" s="108">
        <f t="shared" si="61"/>
        <v>133800</v>
      </c>
      <c r="AS95" s="108">
        <f t="shared" si="61"/>
        <v>0</v>
      </c>
      <c r="AT95" s="108">
        <f>15000*2.23</f>
        <v>33450</v>
      </c>
      <c r="AU95" s="109"/>
      <c r="AV95" s="108">
        <f>15000*2.23</f>
        <v>33450</v>
      </c>
      <c r="AW95" s="108"/>
      <c r="AX95" s="108">
        <f>15000*2.23</f>
        <v>33450</v>
      </c>
      <c r="AY95" s="109"/>
      <c r="AZ95" s="108">
        <f>15000*2.23</f>
        <v>33450</v>
      </c>
      <c r="BA95" s="109"/>
      <c r="BB95" s="108">
        <f t="shared" si="62"/>
        <v>133800</v>
      </c>
      <c r="BC95" s="108">
        <f t="shared" si="62"/>
        <v>0</v>
      </c>
      <c r="BD95" s="108">
        <f t="shared" si="63"/>
        <v>660000</v>
      </c>
      <c r="BE95" s="108">
        <f t="shared" si="63"/>
        <v>0</v>
      </c>
      <c r="BF95" s="108">
        <f t="shared" si="64"/>
        <v>660000</v>
      </c>
    </row>
    <row r="96" spans="1:58" x14ac:dyDescent="0.25">
      <c r="A96" s="171" t="s">
        <v>165</v>
      </c>
      <c r="B96" s="172">
        <v>13380000</v>
      </c>
      <c r="C96" s="172">
        <v>0</v>
      </c>
      <c r="D96" s="106">
        <f t="shared" si="43"/>
        <v>13380000</v>
      </c>
      <c r="F96" s="108">
        <v>0</v>
      </c>
      <c r="G96" s="108">
        <v>0</v>
      </c>
      <c r="H96" s="108">
        <v>0</v>
      </c>
      <c r="I96" s="108">
        <v>0</v>
      </c>
      <c r="J96" s="108">
        <f>250000*2.23+150000</f>
        <v>707500</v>
      </c>
      <c r="K96" s="108">
        <v>0</v>
      </c>
      <c r="L96" s="108">
        <f>757500+150000</f>
        <v>907500</v>
      </c>
      <c r="M96" s="108">
        <v>0</v>
      </c>
      <c r="N96" s="108">
        <f t="shared" si="58"/>
        <v>1615000</v>
      </c>
      <c r="O96" s="108">
        <f t="shared" si="58"/>
        <v>0</v>
      </c>
      <c r="P96" s="108">
        <f>757500+120000</f>
        <v>877500</v>
      </c>
      <c r="Q96" s="108">
        <v>0</v>
      </c>
      <c r="R96" s="108">
        <f>657500+130000</f>
        <v>787500</v>
      </c>
      <c r="S96" s="108">
        <v>0</v>
      </c>
      <c r="T96" s="108">
        <f>250000*2.23+220000</f>
        <v>777500</v>
      </c>
      <c r="U96" s="108">
        <v>0</v>
      </c>
      <c r="V96" s="108">
        <f>657500+130000</f>
        <v>787500</v>
      </c>
      <c r="W96" s="108">
        <v>0</v>
      </c>
      <c r="X96" s="108">
        <f t="shared" si="59"/>
        <v>3230000</v>
      </c>
      <c r="Y96" s="108">
        <f t="shared" si="59"/>
        <v>0</v>
      </c>
      <c r="Z96" s="108">
        <f>657500+130000</f>
        <v>787500</v>
      </c>
      <c r="AA96" s="108">
        <v>0</v>
      </c>
      <c r="AB96" s="108">
        <f>657500+130000</f>
        <v>787500</v>
      </c>
      <c r="AC96" s="108">
        <v>0</v>
      </c>
      <c r="AD96" s="108">
        <f>657500+130000</f>
        <v>787500</v>
      </c>
      <c r="AE96" s="108">
        <v>0</v>
      </c>
      <c r="AF96" s="108">
        <f>657500+130000</f>
        <v>787500</v>
      </c>
      <c r="AG96" s="108">
        <v>0</v>
      </c>
      <c r="AH96" s="108">
        <f t="shared" si="60"/>
        <v>3150000</v>
      </c>
      <c r="AI96" s="108">
        <f t="shared" si="60"/>
        <v>0</v>
      </c>
      <c r="AJ96" s="108">
        <f>657500+120000</f>
        <v>777500</v>
      </c>
      <c r="AK96" s="108">
        <v>0</v>
      </c>
      <c r="AL96" s="108">
        <f>657500+120000</f>
        <v>777500</v>
      </c>
      <c r="AM96" s="108">
        <v>0</v>
      </c>
      <c r="AN96" s="108">
        <f>657500+120000</f>
        <v>777500</v>
      </c>
      <c r="AO96" s="108">
        <v>0</v>
      </c>
      <c r="AP96" s="108">
        <f>657500+120000</f>
        <v>777500</v>
      </c>
      <c r="AQ96" s="108">
        <v>0</v>
      </c>
      <c r="AR96" s="108">
        <f t="shared" si="61"/>
        <v>3110000</v>
      </c>
      <c r="AS96" s="108">
        <f t="shared" si="61"/>
        <v>0</v>
      </c>
      <c r="AT96" s="108">
        <f>250000*2.23+100000</f>
        <v>657500</v>
      </c>
      <c r="AU96" s="108">
        <v>0</v>
      </c>
      <c r="AV96" s="108">
        <f>250000*2.23</f>
        <v>557500</v>
      </c>
      <c r="AW96" s="108">
        <v>0</v>
      </c>
      <c r="AX96" s="108">
        <v>535000</v>
      </c>
      <c r="AY96" s="108">
        <v>0</v>
      </c>
      <c r="AZ96" s="108">
        <v>525000</v>
      </c>
      <c r="BA96" s="108">
        <v>0</v>
      </c>
      <c r="BB96" s="108">
        <f t="shared" si="62"/>
        <v>2275000</v>
      </c>
      <c r="BC96" s="108">
        <f t="shared" si="62"/>
        <v>0</v>
      </c>
      <c r="BD96" s="108">
        <f t="shared" si="63"/>
        <v>13380000</v>
      </c>
      <c r="BE96" s="108">
        <f t="shared" si="63"/>
        <v>0</v>
      </c>
      <c r="BF96" s="108">
        <f t="shared" si="64"/>
        <v>13380000</v>
      </c>
    </row>
    <row r="97" spans="1:58" x14ac:dyDescent="0.25">
      <c r="A97" s="123" t="s">
        <v>166</v>
      </c>
      <c r="B97" s="172">
        <v>500000</v>
      </c>
      <c r="C97" s="172">
        <v>0</v>
      </c>
      <c r="D97" s="106">
        <f t="shared" si="43"/>
        <v>500000</v>
      </c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>
        <v>500000</v>
      </c>
      <c r="W97" s="107"/>
      <c r="X97" s="107">
        <f>+V97+T97+R97+P97</f>
        <v>500000</v>
      </c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>
        <f t="shared" si="63"/>
        <v>500000</v>
      </c>
      <c r="BE97" s="107">
        <f t="shared" si="63"/>
        <v>0</v>
      </c>
      <c r="BF97" s="107">
        <f t="shared" si="64"/>
        <v>500000</v>
      </c>
    </row>
    <row r="98" spans="1:58" x14ac:dyDescent="0.25">
      <c r="A98" s="171" t="s">
        <v>167</v>
      </c>
      <c r="B98" s="172">
        <v>600000</v>
      </c>
      <c r="C98" s="172">
        <v>0</v>
      </c>
      <c r="D98" s="106">
        <f t="shared" si="43"/>
        <v>600000</v>
      </c>
      <c r="F98" s="107">
        <v>0</v>
      </c>
      <c r="G98" s="107"/>
      <c r="H98" s="107">
        <v>0</v>
      </c>
      <c r="I98" s="107"/>
      <c r="J98" s="107">
        <v>0</v>
      </c>
      <c r="K98" s="107"/>
      <c r="L98" s="107">
        <v>0</v>
      </c>
      <c r="M98" s="107"/>
      <c r="N98" s="108">
        <f>+L98+J98+H98+F98</f>
        <v>0</v>
      </c>
      <c r="O98" s="108">
        <f>+M98+K98+I98+G98</f>
        <v>0</v>
      </c>
      <c r="P98" s="107">
        <v>0</v>
      </c>
      <c r="Q98" s="109"/>
      <c r="R98" s="107">
        <v>0</v>
      </c>
      <c r="S98" s="109"/>
      <c r="T98" s="107">
        <v>0</v>
      </c>
      <c r="U98" s="109"/>
      <c r="V98" s="107">
        <v>0</v>
      </c>
      <c r="W98" s="109"/>
      <c r="X98" s="108">
        <f>+V98+T98+R98+P98</f>
        <v>0</v>
      </c>
      <c r="Y98" s="108">
        <f>+W98+U98+S98+Q98</f>
        <v>0</v>
      </c>
      <c r="Z98" s="107">
        <v>0</v>
      </c>
      <c r="AA98" s="109"/>
      <c r="AB98" s="107">
        <v>75000</v>
      </c>
      <c r="AC98" s="109"/>
      <c r="AD98" s="107">
        <v>75000</v>
      </c>
      <c r="AE98" s="109"/>
      <c r="AF98" s="107">
        <v>0</v>
      </c>
      <c r="AG98" s="109"/>
      <c r="AH98" s="108">
        <f t="shared" ref="AH98:AI100" si="65">+AF98+AD98+AB98+Z98</f>
        <v>150000</v>
      </c>
      <c r="AI98" s="108">
        <f t="shared" si="65"/>
        <v>0</v>
      </c>
      <c r="AJ98" s="107">
        <v>0</v>
      </c>
      <c r="AK98" s="109"/>
      <c r="AL98" s="107">
        <v>0</v>
      </c>
      <c r="AM98" s="109"/>
      <c r="AN98" s="107">
        <v>0</v>
      </c>
      <c r="AO98" s="109"/>
      <c r="AP98" s="107">
        <v>0</v>
      </c>
      <c r="AQ98" s="109"/>
      <c r="AR98" s="108">
        <f t="shared" ref="AR98:AS100" si="66">+AP98+AN98+AL98+AJ98</f>
        <v>0</v>
      </c>
      <c r="AS98" s="108">
        <f t="shared" si="66"/>
        <v>0</v>
      </c>
      <c r="AT98" s="107">
        <v>0</v>
      </c>
      <c r="AU98" s="109"/>
      <c r="AV98" s="107">
        <v>0</v>
      </c>
      <c r="AW98" s="109"/>
      <c r="AX98" s="107">
        <v>200000</v>
      </c>
      <c r="AY98" s="109"/>
      <c r="AZ98" s="107">
        <v>250000</v>
      </c>
      <c r="BA98" s="109"/>
      <c r="BB98" s="108">
        <f t="shared" ref="BB98:BC100" si="67">+AZ98+AX98+AV98+AT98</f>
        <v>450000</v>
      </c>
      <c r="BC98" s="108">
        <f t="shared" si="67"/>
        <v>0</v>
      </c>
      <c r="BD98" s="108">
        <f t="shared" si="63"/>
        <v>600000</v>
      </c>
      <c r="BE98" s="108">
        <f t="shared" si="63"/>
        <v>0</v>
      </c>
      <c r="BF98" s="108">
        <f t="shared" si="64"/>
        <v>600000</v>
      </c>
    </row>
    <row r="99" spans="1:58" x14ac:dyDescent="0.25">
      <c r="A99" s="171" t="s">
        <v>168</v>
      </c>
      <c r="B99" s="172">
        <v>600000</v>
      </c>
      <c r="C99" s="172">
        <v>0</v>
      </c>
      <c r="D99" s="106">
        <f t="shared" si="43"/>
        <v>600000</v>
      </c>
      <c r="F99" s="107"/>
      <c r="G99" s="107"/>
      <c r="H99" s="107"/>
      <c r="I99" s="107"/>
      <c r="J99" s="107"/>
      <c r="K99" s="107"/>
      <c r="L99" s="107">
        <v>120000</v>
      </c>
      <c r="M99" s="107"/>
      <c r="N99" s="108">
        <f>+L99+J99+H99+F99</f>
        <v>120000</v>
      </c>
      <c r="O99" s="108">
        <f>+M99+K99+I99+G99</f>
        <v>0</v>
      </c>
      <c r="P99" s="109"/>
      <c r="Q99" s="109"/>
      <c r="R99" s="109"/>
      <c r="S99" s="109"/>
      <c r="T99" s="109"/>
      <c r="U99" s="109"/>
      <c r="V99" s="107">
        <v>120000</v>
      </c>
      <c r="W99" s="109"/>
      <c r="X99" s="108">
        <f>+V99+T99+R99+P99</f>
        <v>120000</v>
      </c>
      <c r="Y99" s="108">
        <f>+W99+U99+S99+Q99</f>
        <v>0</v>
      </c>
      <c r="Z99" s="109"/>
      <c r="AA99" s="109"/>
      <c r="AB99" s="109"/>
      <c r="AC99" s="109"/>
      <c r="AD99" s="109"/>
      <c r="AE99" s="109"/>
      <c r="AF99" s="107">
        <v>120000</v>
      </c>
      <c r="AG99" s="109"/>
      <c r="AH99" s="108">
        <f t="shared" si="65"/>
        <v>120000</v>
      </c>
      <c r="AI99" s="108">
        <f t="shared" si="65"/>
        <v>0</v>
      </c>
      <c r="AJ99" s="109"/>
      <c r="AK99" s="109"/>
      <c r="AL99" s="109"/>
      <c r="AM99" s="109"/>
      <c r="AN99" s="109"/>
      <c r="AO99" s="109"/>
      <c r="AP99" s="107">
        <v>120000</v>
      </c>
      <c r="AQ99" s="109"/>
      <c r="AR99" s="108">
        <f t="shared" si="66"/>
        <v>120000</v>
      </c>
      <c r="AS99" s="108">
        <f t="shared" si="66"/>
        <v>0</v>
      </c>
      <c r="AT99" s="109"/>
      <c r="AU99" s="109"/>
      <c r="AV99" s="109"/>
      <c r="AW99" s="109"/>
      <c r="AX99" s="109"/>
      <c r="AY99" s="109"/>
      <c r="AZ99" s="107">
        <v>120000</v>
      </c>
      <c r="BA99" s="109"/>
      <c r="BB99" s="108">
        <f t="shared" si="67"/>
        <v>120000</v>
      </c>
      <c r="BC99" s="108">
        <f t="shared" si="67"/>
        <v>0</v>
      </c>
      <c r="BD99" s="108">
        <f t="shared" si="63"/>
        <v>600000</v>
      </c>
      <c r="BE99" s="108">
        <f t="shared" si="63"/>
        <v>0</v>
      </c>
      <c r="BF99" s="108">
        <f t="shared" si="64"/>
        <v>600000</v>
      </c>
    </row>
    <row r="100" spans="1:58" x14ac:dyDescent="0.25">
      <c r="A100" s="158" t="s">
        <v>169</v>
      </c>
      <c r="B100" s="172">
        <f>B101+B102+B103+B104+B105+B106+B107</f>
        <v>0</v>
      </c>
      <c r="C100" s="172">
        <f>C101+C102+C103+C104+C105+C106+C107+C108</f>
        <v>915000</v>
      </c>
      <c r="D100" s="106">
        <f t="shared" si="43"/>
        <v>915000</v>
      </c>
      <c r="F100" s="121">
        <v>0</v>
      </c>
      <c r="G100" s="121"/>
      <c r="H100" s="121">
        <v>0</v>
      </c>
      <c r="I100" s="121">
        <f>SUM(I101:I106)</f>
        <v>0</v>
      </c>
      <c r="J100" s="121">
        <v>0</v>
      </c>
      <c r="K100" s="121">
        <f>SUM(K101:K105)</f>
        <v>0</v>
      </c>
      <c r="L100" s="121">
        <v>0</v>
      </c>
      <c r="M100" s="121">
        <f>SUM(M101:M108)</f>
        <v>0</v>
      </c>
      <c r="N100" s="121">
        <f>+L100+J100+H100+F100</f>
        <v>0</v>
      </c>
      <c r="O100" s="121">
        <v>915000</v>
      </c>
      <c r="P100" s="121">
        <v>0</v>
      </c>
      <c r="Q100" s="121">
        <f>SUM(Q101:Q108)</f>
        <v>0</v>
      </c>
      <c r="R100" s="121">
        <v>0</v>
      </c>
      <c r="S100" s="121">
        <f>SUM(S101:S106)</f>
        <v>0</v>
      </c>
      <c r="T100" s="121">
        <v>0</v>
      </c>
      <c r="U100" s="121">
        <f>SUM(U101:U108)</f>
        <v>0</v>
      </c>
      <c r="V100" s="121">
        <v>0</v>
      </c>
      <c r="W100" s="121">
        <f>SUM(W101:W108)</f>
        <v>0</v>
      </c>
      <c r="X100" s="121">
        <f>+V100+T100+R100+P100</f>
        <v>0</v>
      </c>
      <c r="Y100" s="121">
        <f>+W100+U100+S100+Q100</f>
        <v>0</v>
      </c>
      <c r="Z100" s="121">
        <v>0</v>
      </c>
      <c r="AA100" s="121">
        <v>0</v>
      </c>
      <c r="AB100" s="121">
        <v>0</v>
      </c>
      <c r="AC100" s="121">
        <v>0</v>
      </c>
      <c r="AD100" s="121">
        <v>0</v>
      </c>
      <c r="AE100" s="121">
        <v>0</v>
      </c>
      <c r="AF100" s="121">
        <v>0</v>
      </c>
      <c r="AG100" s="121">
        <v>0</v>
      </c>
      <c r="AH100" s="121">
        <f t="shared" si="65"/>
        <v>0</v>
      </c>
      <c r="AI100" s="121">
        <f t="shared" si="65"/>
        <v>0</v>
      </c>
      <c r="AJ100" s="121"/>
      <c r="AK100" s="121"/>
      <c r="AL100" s="121"/>
      <c r="AM100" s="121"/>
      <c r="AN100" s="121"/>
      <c r="AO100" s="121"/>
      <c r="AP100" s="121"/>
      <c r="AQ100" s="121"/>
      <c r="AR100" s="121">
        <f t="shared" si="66"/>
        <v>0</v>
      </c>
      <c r="AS100" s="121">
        <f t="shared" si="66"/>
        <v>0</v>
      </c>
      <c r="AT100" s="121"/>
      <c r="AU100" s="121"/>
      <c r="AV100" s="121"/>
      <c r="AW100" s="121"/>
      <c r="AX100" s="121"/>
      <c r="AY100" s="121"/>
      <c r="AZ100" s="121"/>
      <c r="BA100" s="121"/>
      <c r="BB100" s="121">
        <f t="shared" si="67"/>
        <v>0</v>
      </c>
      <c r="BC100" s="121">
        <f t="shared" si="67"/>
        <v>0</v>
      </c>
      <c r="BD100" s="121">
        <f t="shared" si="63"/>
        <v>0</v>
      </c>
      <c r="BE100" s="121">
        <f t="shared" si="63"/>
        <v>915000</v>
      </c>
      <c r="BF100" s="121">
        <f>+BE100+BD100</f>
        <v>915000</v>
      </c>
    </row>
    <row r="101" spans="1:58" x14ac:dyDescent="0.25">
      <c r="A101" s="104" t="s">
        <v>170</v>
      </c>
      <c r="B101" s="172">
        <v>0</v>
      </c>
      <c r="C101" s="172">
        <v>0</v>
      </c>
      <c r="D101" s="106">
        <f t="shared" si="43"/>
        <v>0</v>
      </c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21"/>
      <c r="AI101" s="121"/>
      <c r="AJ101" s="108"/>
      <c r="AK101" s="108"/>
      <c r="AL101" s="108"/>
      <c r="AM101" s="108"/>
      <c r="AN101" s="108"/>
      <c r="AO101" s="108"/>
      <c r="AP101" s="108"/>
      <c r="AQ101" s="108"/>
      <c r="AR101" s="121"/>
      <c r="AS101" s="121"/>
      <c r="AT101" s="108"/>
      <c r="AU101" s="108"/>
      <c r="AV101" s="108"/>
      <c r="AW101" s="108"/>
      <c r="AX101" s="108"/>
      <c r="AY101" s="108"/>
      <c r="AZ101" s="108"/>
      <c r="BA101" s="108"/>
      <c r="BB101" s="121"/>
      <c r="BC101" s="121"/>
      <c r="BD101" s="108"/>
      <c r="BE101" s="108"/>
      <c r="BF101" s="108">
        <f t="shared" ref="BF101:BF106" si="68">+BE101+BD101</f>
        <v>0</v>
      </c>
    </row>
    <row r="102" spans="1:58" x14ac:dyDescent="0.25">
      <c r="A102" s="104" t="s">
        <v>171</v>
      </c>
      <c r="B102" s="172">
        <v>0</v>
      </c>
      <c r="C102" s="172">
        <v>0</v>
      </c>
      <c r="D102" s="106">
        <f t="shared" si="43"/>
        <v>0</v>
      </c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21"/>
      <c r="AI102" s="121"/>
      <c r="AJ102" s="108"/>
      <c r="AK102" s="108"/>
      <c r="AL102" s="108"/>
      <c r="AM102" s="108"/>
      <c r="AN102" s="108"/>
      <c r="AO102" s="108"/>
      <c r="AP102" s="108"/>
      <c r="AQ102" s="108"/>
      <c r="AR102" s="121"/>
      <c r="AS102" s="121"/>
      <c r="AT102" s="108"/>
      <c r="AU102" s="108"/>
      <c r="AV102" s="108"/>
      <c r="AW102" s="108"/>
      <c r="AX102" s="108"/>
      <c r="AY102" s="108"/>
      <c r="AZ102" s="108"/>
      <c r="BA102" s="108"/>
      <c r="BB102" s="121"/>
      <c r="BC102" s="121"/>
      <c r="BD102" s="108">
        <f t="shared" ref="BD102:BE106" si="69">+BB102+AR102+AH102+X102+N102</f>
        <v>0</v>
      </c>
      <c r="BE102" s="108">
        <f t="shared" si="69"/>
        <v>0</v>
      </c>
      <c r="BF102" s="108">
        <f t="shared" si="68"/>
        <v>0</v>
      </c>
    </row>
    <row r="103" spans="1:58" x14ac:dyDescent="0.25">
      <c r="A103" s="104" t="s">
        <v>172</v>
      </c>
      <c r="B103" s="172">
        <v>0</v>
      </c>
      <c r="C103" s="172">
        <v>0</v>
      </c>
      <c r="D103" s="106">
        <f t="shared" si="43"/>
        <v>0</v>
      </c>
      <c r="F103" s="108"/>
      <c r="G103" s="108"/>
      <c r="H103" s="108"/>
      <c r="I103" s="108"/>
      <c r="J103" s="108"/>
      <c r="K103" s="108"/>
      <c r="L103" s="108"/>
      <c r="M103" s="108"/>
      <c r="N103" s="108">
        <f t="shared" ref="N103:O108" si="70">+L103+J103+H103+F103</f>
        <v>0</v>
      </c>
      <c r="O103" s="108">
        <f t="shared" si="70"/>
        <v>0</v>
      </c>
      <c r="P103" s="108"/>
      <c r="Q103" s="108"/>
      <c r="R103" s="108"/>
      <c r="S103" s="108"/>
      <c r="T103" s="108"/>
      <c r="U103" s="108"/>
      <c r="V103" s="108"/>
      <c r="W103" s="108"/>
      <c r="X103" s="108">
        <f t="shared" ref="X103:Y106" si="71">+V103+T103+R103+P103</f>
        <v>0</v>
      </c>
      <c r="Y103" s="108">
        <f t="shared" si="71"/>
        <v>0</v>
      </c>
      <c r="Z103" s="108"/>
      <c r="AA103" s="108"/>
      <c r="AB103" s="108"/>
      <c r="AC103" s="108"/>
      <c r="AD103" s="108"/>
      <c r="AE103" s="108"/>
      <c r="AF103" s="108"/>
      <c r="AG103" s="108"/>
      <c r="AH103" s="121">
        <f t="shared" ref="AH103:AI106" si="72">+AF103+AD103+AB103+Z103</f>
        <v>0</v>
      </c>
      <c r="AI103" s="121">
        <f t="shared" si="72"/>
        <v>0</v>
      </c>
      <c r="AJ103" s="108"/>
      <c r="AK103" s="108"/>
      <c r="AL103" s="108"/>
      <c r="AM103" s="108"/>
      <c r="AN103" s="108"/>
      <c r="AO103" s="108"/>
      <c r="AP103" s="108"/>
      <c r="AQ103" s="108"/>
      <c r="AR103" s="121">
        <f t="shared" ref="AR103:AS106" si="73">+AP103+AN103+AL103+AJ103</f>
        <v>0</v>
      </c>
      <c r="AS103" s="121">
        <f t="shared" si="73"/>
        <v>0</v>
      </c>
      <c r="AT103" s="108"/>
      <c r="AU103" s="108"/>
      <c r="AV103" s="108"/>
      <c r="AW103" s="108"/>
      <c r="AX103" s="108"/>
      <c r="AY103" s="108"/>
      <c r="AZ103" s="108"/>
      <c r="BA103" s="108"/>
      <c r="BB103" s="121">
        <f t="shared" ref="BB103:BC106" si="74">+AZ103+AX103+AV103+AT103</f>
        <v>0</v>
      </c>
      <c r="BC103" s="121">
        <f t="shared" si="74"/>
        <v>0</v>
      </c>
      <c r="BD103" s="108">
        <f t="shared" si="69"/>
        <v>0</v>
      </c>
      <c r="BE103" s="108">
        <f t="shared" si="69"/>
        <v>0</v>
      </c>
      <c r="BF103" s="108">
        <f t="shared" si="68"/>
        <v>0</v>
      </c>
    </row>
    <row r="104" spans="1:58" x14ac:dyDescent="0.25">
      <c r="A104" s="104" t="s">
        <v>173</v>
      </c>
      <c r="B104" s="172">
        <v>0</v>
      </c>
      <c r="C104" s="172">
        <v>0</v>
      </c>
      <c r="D104" s="106">
        <f t="shared" si="43"/>
        <v>0</v>
      </c>
      <c r="F104" s="108"/>
      <c r="G104" s="108"/>
      <c r="H104" s="108"/>
      <c r="I104" s="108"/>
      <c r="J104" s="108"/>
      <c r="K104" s="108"/>
      <c r="L104" s="108"/>
      <c r="M104" s="108"/>
      <c r="N104" s="108">
        <f t="shared" si="70"/>
        <v>0</v>
      </c>
      <c r="O104" s="108">
        <f t="shared" si="70"/>
        <v>0</v>
      </c>
      <c r="P104" s="108"/>
      <c r="Q104" s="108"/>
      <c r="R104" s="108"/>
      <c r="S104" s="108"/>
      <c r="T104" s="108"/>
      <c r="U104" s="108"/>
      <c r="V104" s="108"/>
      <c r="W104" s="108"/>
      <c r="X104" s="108">
        <f t="shared" si="71"/>
        <v>0</v>
      </c>
      <c r="Y104" s="108">
        <f t="shared" si="71"/>
        <v>0</v>
      </c>
      <c r="Z104" s="108"/>
      <c r="AA104" s="108"/>
      <c r="AB104" s="108"/>
      <c r="AC104" s="108"/>
      <c r="AD104" s="108"/>
      <c r="AE104" s="108"/>
      <c r="AF104" s="108"/>
      <c r="AG104" s="108"/>
      <c r="AH104" s="121">
        <f t="shared" si="72"/>
        <v>0</v>
      </c>
      <c r="AI104" s="121">
        <f t="shared" si="72"/>
        <v>0</v>
      </c>
      <c r="AJ104" s="108"/>
      <c r="AK104" s="108"/>
      <c r="AL104" s="108"/>
      <c r="AM104" s="108"/>
      <c r="AN104" s="108"/>
      <c r="AO104" s="108"/>
      <c r="AP104" s="108"/>
      <c r="AQ104" s="108"/>
      <c r="AR104" s="121">
        <f t="shared" si="73"/>
        <v>0</v>
      </c>
      <c r="AS104" s="121">
        <f t="shared" si="73"/>
        <v>0</v>
      </c>
      <c r="AT104" s="108"/>
      <c r="AU104" s="108"/>
      <c r="AV104" s="108"/>
      <c r="AW104" s="108"/>
      <c r="AX104" s="108"/>
      <c r="AY104" s="108"/>
      <c r="AZ104" s="108"/>
      <c r="BA104" s="108"/>
      <c r="BB104" s="121">
        <f t="shared" si="74"/>
        <v>0</v>
      </c>
      <c r="BC104" s="121">
        <f t="shared" si="74"/>
        <v>0</v>
      </c>
      <c r="BD104" s="108">
        <f t="shared" si="69"/>
        <v>0</v>
      </c>
      <c r="BE104" s="108">
        <f t="shared" si="69"/>
        <v>0</v>
      </c>
      <c r="BF104" s="108">
        <f t="shared" si="68"/>
        <v>0</v>
      </c>
    </row>
    <row r="105" spans="1:58" x14ac:dyDescent="0.25">
      <c r="A105" s="104" t="s">
        <v>174</v>
      </c>
      <c r="B105" s="172">
        <v>0</v>
      </c>
      <c r="C105" s="172">
        <v>0</v>
      </c>
      <c r="D105" s="106">
        <f t="shared" si="43"/>
        <v>0</v>
      </c>
      <c r="F105" s="108"/>
      <c r="G105" s="108"/>
      <c r="H105" s="108"/>
      <c r="I105" s="108"/>
      <c r="J105" s="108"/>
      <c r="K105" s="108"/>
      <c r="L105" s="108"/>
      <c r="M105" s="108"/>
      <c r="N105" s="108">
        <f t="shared" si="70"/>
        <v>0</v>
      </c>
      <c r="O105" s="108">
        <f t="shared" si="70"/>
        <v>0</v>
      </c>
      <c r="P105" s="108"/>
      <c r="Q105" s="108"/>
      <c r="R105" s="108"/>
      <c r="S105" s="108"/>
      <c r="T105" s="108"/>
      <c r="U105" s="108"/>
      <c r="V105" s="108"/>
      <c r="W105" s="108"/>
      <c r="X105" s="108">
        <f t="shared" si="71"/>
        <v>0</v>
      </c>
      <c r="Y105" s="108">
        <f t="shared" si="71"/>
        <v>0</v>
      </c>
      <c r="Z105" s="108"/>
      <c r="AA105" s="108"/>
      <c r="AB105" s="108"/>
      <c r="AC105" s="108"/>
      <c r="AD105" s="108"/>
      <c r="AE105" s="108"/>
      <c r="AF105" s="108"/>
      <c r="AG105" s="108"/>
      <c r="AH105" s="121">
        <f t="shared" si="72"/>
        <v>0</v>
      </c>
      <c r="AI105" s="121">
        <f t="shared" si="72"/>
        <v>0</v>
      </c>
      <c r="AJ105" s="108"/>
      <c r="AK105" s="108"/>
      <c r="AL105" s="108"/>
      <c r="AM105" s="108"/>
      <c r="AN105" s="108"/>
      <c r="AO105" s="108"/>
      <c r="AP105" s="108"/>
      <c r="AQ105" s="108"/>
      <c r="AR105" s="121">
        <f t="shared" si="73"/>
        <v>0</v>
      </c>
      <c r="AS105" s="121">
        <f t="shared" si="73"/>
        <v>0</v>
      </c>
      <c r="AT105" s="108"/>
      <c r="AU105" s="108"/>
      <c r="AV105" s="108"/>
      <c r="AW105" s="108"/>
      <c r="AX105" s="108"/>
      <c r="AY105" s="108"/>
      <c r="AZ105" s="108"/>
      <c r="BA105" s="108"/>
      <c r="BB105" s="121">
        <f t="shared" si="74"/>
        <v>0</v>
      </c>
      <c r="BC105" s="121">
        <f t="shared" si="74"/>
        <v>0</v>
      </c>
      <c r="BD105" s="108">
        <f t="shared" si="69"/>
        <v>0</v>
      </c>
      <c r="BE105" s="108">
        <f t="shared" si="69"/>
        <v>0</v>
      </c>
      <c r="BF105" s="108">
        <f t="shared" si="68"/>
        <v>0</v>
      </c>
    </row>
    <row r="106" spans="1:58" x14ac:dyDescent="0.25">
      <c r="A106" s="123" t="s">
        <v>175</v>
      </c>
      <c r="B106" s="172">
        <v>0</v>
      </c>
      <c r="C106" s="172">
        <v>500000</v>
      </c>
      <c r="D106" s="106">
        <f t="shared" si="43"/>
        <v>500000</v>
      </c>
      <c r="F106" s="108"/>
      <c r="G106" s="108">
        <v>500000</v>
      </c>
      <c r="H106" s="108"/>
      <c r="I106" s="108"/>
      <c r="J106" s="108"/>
      <c r="K106" s="108"/>
      <c r="L106" s="108"/>
      <c r="M106" s="108"/>
      <c r="N106" s="108">
        <f t="shared" si="70"/>
        <v>0</v>
      </c>
      <c r="O106" s="108">
        <f t="shared" si="70"/>
        <v>500000</v>
      </c>
      <c r="P106" s="108"/>
      <c r="Q106" s="108"/>
      <c r="R106" s="108"/>
      <c r="S106" s="108"/>
      <c r="T106" s="108"/>
      <c r="U106" s="108"/>
      <c r="V106" s="108"/>
      <c r="W106" s="108"/>
      <c r="X106" s="108">
        <f t="shared" si="71"/>
        <v>0</v>
      </c>
      <c r="Y106" s="108">
        <f t="shared" si="71"/>
        <v>0</v>
      </c>
      <c r="Z106" s="108"/>
      <c r="AA106" s="108"/>
      <c r="AB106" s="108"/>
      <c r="AC106" s="108"/>
      <c r="AD106" s="108"/>
      <c r="AE106" s="108"/>
      <c r="AF106" s="108"/>
      <c r="AG106" s="108"/>
      <c r="AH106" s="121">
        <f t="shared" si="72"/>
        <v>0</v>
      </c>
      <c r="AI106" s="121">
        <f t="shared" si="72"/>
        <v>0</v>
      </c>
      <c r="AJ106" s="108"/>
      <c r="AK106" s="108"/>
      <c r="AL106" s="108"/>
      <c r="AM106" s="108"/>
      <c r="AN106" s="108"/>
      <c r="AO106" s="108"/>
      <c r="AP106" s="108"/>
      <c r="AQ106" s="108"/>
      <c r="AR106" s="121">
        <f t="shared" si="73"/>
        <v>0</v>
      </c>
      <c r="AS106" s="121">
        <f t="shared" si="73"/>
        <v>0</v>
      </c>
      <c r="AT106" s="108"/>
      <c r="AU106" s="108"/>
      <c r="AV106" s="108"/>
      <c r="AW106" s="108"/>
      <c r="AX106" s="108"/>
      <c r="AY106" s="108"/>
      <c r="AZ106" s="108"/>
      <c r="BA106" s="108"/>
      <c r="BB106" s="121">
        <f t="shared" si="74"/>
        <v>0</v>
      </c>
      <c r="BC106" s="121">
        <f t="shared" si="74"/>
        <v>0</v>
      </c>
      <c r="BD106" s="108">
        <f t="shared" si="69"/>
        <v>0</v>
      </c>
      <c r="BE106" s="108">
        <f t="shared" si="69"/>
        <v>500000</v>
      </c>
      <c r="BF106" s="108">
        <f t="shared" si="68"/>
        <v>500000</v>
      </c>
    </row>
    <row r="107" spans="1:58" x14ac:dyDescent="0.25">
      <c r="A107" s="173" t="s">
        <v>176</v>
      </c>
      <c r="B107" s="127">
        <v>0</v>
      </c>
      <c r="C107" s="127">
        <v>415000</v>
      </c>
      <c r="D107" s="113">
        <f t="shared" si="43"/>
        <v>415000</v>
      </c>
      <c r="F107" s="108"/>
      <c r="G107" s="108"/>
      <c r="H107" s="108"/>
      <c r="I107" s="108"/>
      <c r="J107" s="108"/>
      <c r="K107" s="108"/>
      <c r="L107" s="108"/>
      <c r="M107" s="108"/>
      <c r="N107" s="108">
        <f t="shared" si="70"/>
        <v>0</v>
      </c>
      <c r="O107" s="174">
        <v>415000</v>
      </c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74">
        <v>415000</v>
      </c>
      <c r="BF107" s="108">
        <f>D107</f>
        <v>415000</v>
      </c>
    </row>
    <row r="108" spans="1:58" x14ac:dyDescent="0.25">
      <c r="A108" s="159" t="s">
        <v>177</v>
      </c>
      <c r="B108" s="175">
        <v>6463492</v>
      </c>
      <c r="C108" s="175">
        <v>0</v>
      </c>
      <c r="D108" s="106">
        <f t="shared" si="43"/>
        <v>6463492</v>
      </c>
      <c r="F108" s="121"/>
      <c r="G108" s="121"/>
      <c r="H108" s="121"/>
      <c r="I108" s="121"/>
      <c r="J108" s="121">
        <v>300000</v>
      </c>
      <c r="K108" s="121"/>
      <c r="L108" s="121">
        <v>550593</v>
      </c>
      <c r="M108" s="121"/>
      <c r="N108" s="121">
        <f t="shared" si="70"/>
        <v>850593</v>
      </c>
      <c r="O108" s="121">
        <f t="shared" si="70"/>
        <v>0</v>
      </c>
      <c r="P108" s="121">
        <v>500000</v>
      </c>
      <c r="Q108" s="121"/>
      <c r="R108" s="121">
        <v>500000</v>
      </c>
      <c r="S108" s="121"/>
      <c r="T108" s="121">
        <v>500000</v>
      </c>
      <c r="U108" s="121"/>
      <c r="V108" s="121">
        <v>50360</v>
      </c>
      <c r="W108" s="121"/>
      <c r="X108" s="121">
        <f t="shared" ref="X108:Y108" si="75">+V108+T108+R108+P108</f>
        <v>1550360</v>
      </c>
      <c r="Y108" s="121">
        <f t="shared" si="75"/>
        <v>0</v>
      </c>
      <c r="Z108" s="121">
        <v>700000</v>
      </c>
      <c r="AA108" s="121"/>
      <c r="AB108" s="121">
        <v>700000</v>
      </c>
      <c r="AC108" s="121"/>
      <c r="AD108" s="121">
        <v>700000</v>
      </c>
      <c r="AE108" s="121"/>
      <c r="AF108" s="121">
        <v>700000</v>
      </c>
      <c r="AG108" s="121"/>
      <c r="AH108" s="121">
        <f t="shared" ref="AH108:AI108" si="76">+AF108+AD108+AB108+Z108</f>
        <v>2800000</v>
      </c>
      <c r="AI108" s="121">
        <f t="shared" si="76"/>
        <v>0</v>
      </c>
      <c r="AJ108" s="121">
        <v>700000</v>
      </c>
      <c r="AK108" s="121"/>
      <c r="AL108" s="121">
        <f>700000-137461</f>
        <v>562539</v>
      </c>
      <c r="AM108" s="121"/>
      <c r="AN108" s="121">
        <v>0</v>
      </c>
      <c r="AO108" s="121"/>
      <c r="AP108" s="121">
        <v>0</v>
      </c>
      <c r="AQ108" s="121"/>
      <c r="AR108" s="121">
        <f t="shared" ref="AR108:AS108" si="77">+AP108+AN108+AL108+AJ108</f>
        <v>1262539</v>
      </c>
      <c r="AS108" s="121">
        <f t="shared" si="77"/>
        <v>0</v>
      </c>
      <c r="AT108" s="121">
        <v>0</v>
      </c>
      <c r="AU108" s="121"/>
      <c r="AV108" s="121">
        <v>0</v>
      </c>
      <c r="AW108" s="121"/>
      <c r="AX108" s="121">
        <v>0</v>
      </c>
      <c r="AY108" s="121"/>
      <c r="AZ108" s="121">
        <v>0</v>
      </c>
      <c r="BA108" s="121"/>
      <c r="BB108" s="121">
        <f t="shared" ref="BB108:BC108" si="78">+AZ108+AX108+AV108+AT108</f>
        <v>0</v>
      </c>
      <c r="BC108" s="121">
        <f t="shared" si="78"/>
        <v>0</v>
      </c>
      <c r="BD108" s="121">
        <f>+BB108+AR108+AH108+X108+N108</f>
        <v>6463492</v>
      </c>
      <c r="BE108" s="121">
        <f>+BC108+AS108+AI108+Y108+O108</f>
        <v>0</v>
      </c>
      <c r="BF108" s="121">
        <f t="shared" ref="BF108" si="79">+BE108+BD108</f>
        <v>6463492</v>
      </c>
    </row>
    <row r="109" spans="1:58" x14ac:dyDescent="0.25">
      <c r="A109" s="170" t="s">
        <v>178</v>
      </c>
      <c r="B109" s="101">
        <f>B110+B111</f>
        <v>7080000</v>
      </c>
      <c r="C109" s="101">
        <f>C110+C111</f>
        <v>6280000</v>
      </c>
      <c r="D109" s="101">
        <f t="shared" si="43"/>
        <v>13360000</v>
      </c>
      <c r="F109" s="101">
        <f>F111+F110</f>
        <v>0</v>
      </c>
      <c r="G109" s="101">
        <f t="shared" ref="G109:BF109" si="80">G111+G110</f>
        <v>2787500</v>
      </c>
      <c r="H109" s="101">
        <f t="shared" si="80"/>
        <v>0</v>
      </c>
      <c r="I109" s="101">
        <f t="shared" si="80"/>
        <v>696875</v>
      </c>
      <c r="J109" s="101">
        <f t="shared" si="80"/>
        <v>1000000</v>
      </c>
      <c r="K109" s="101">
        <f t="shared" si="80"/>
        <v>696875</v>
      </c>
      <c r="L109" s="101">
        <f t="shared" si="80"/>
        <v>1000000</v>
      </c>
      <c r="M109" s="101">
        <f t="shared" si="80"/>
        <v>696875</v>
      </c>
      <c r="N109" s="101">
        <f t="shared" si="80"/>
        <v>2680000</v>
      </c>
      <c r="O109" s="101">
        <f t="shared" si="80"/>
        <v>5558125</v>
      </c>
      <c r="P109" s="101">
        <f t="shared" si="80"/>
        <v>1000000</v>
      </c>
      <c r="Q109" s="101">
        <f t="shared" si="80"/>
        <v>721875</v>
      </c>
      <c r="R109" s="101">
        <f t="shared" si="80"/>
        <v>1000000</v>
      </c>
      <c r="S109" s="101">
        <f t="shared" si="80"/>
        <v>0</v>
      </c>
      <c r="T109" s="101">
        <f t="shared" si="80"/>
        <v>1000000</v>
      </c>
      <c r="U109" s="101">
        <f t="shared" si="80"/>
        <v>0</v>
      </c>
      <c r="V109" s="101">
        <f t="shared" si="80"/>
        <v>1400000</v>
      </c>
      <c r="W109" s="101">
        <f t="shared" si="80"/>
        <v>0</v>
      </c>
      <c r="X109" s="101">
        <f t="shared" si="80"/>
        <v>4400000</v>
      </c>
      <c r="Y109" s="101">
        <f t="shared" si="80"/>
        <v>721875</v>
      </c>
      <c r="Z109" s="101">
        <f t="shared" si="80"/>
        <v>0</v>
      </c>
      <c r="AA109" s="101">
        <f t="shared" si="80"/>
        <v>0</v>
      </c>
      <c r="AB109" s="101">
        <f t="shared" si="80"/>
        <v>0</v>
      </c>
      <c r="AC109" s="101">
        <f t="shared" si="80"/>
        <v>0</v>
      </c>
      <c r="AD109" s="101">
        <f t="shared" si="80"/>
        <v>0</v>
      </c>
      <c r="AE109" s="101">
        <f t="shared" si="80"/>
        <v>0</v>
      </c>
      <c r="AF109" s="101">
        <f t="shared" si="80"/>
        <v>0</v>
      </c>
      <c r="AG109" s="101">
        <f t="shared" si="80"/>
        <v>0</v>
      </c>
      <c r="AH109" s="101">
        <f t="shared" si="80"/>
        <v>0</v>
      </c>
      <c r="AI109" s="101">
        <f t="shared" si="80"/>
        <v>0</v>
      </c>
      <c r="AJ109" s="101">
        <f t="shared" si="80"/>
        <v>0</v>
      </c>
      <c r="AK109" s="101">
        <f t="shared" si="80"/>
        <v>0</v>
      </c>
      <c r="AL109" s="101">
        <f t="shared" si="80"/>
        <v>0</v>
      </c>
      <c r="AM109" s="101">
        <f t="shared" si="80"/>
        <v>0</v>
      </c>
      <c r="AN109" s="101">
        <f t="shared" si="80"/>
        <v>0</v>
      </c>
      <c r="AO109" s="101">
        <f t="shared" si="80"/>
        <v>0</v>
      </c>
      <c r="AP109" s="101">
        <f t="shared" si="80"/>
        <v>0</v>
      </c>
      <c r="AQ109" s="101">
        <f t="shared" si="80"/>
        <v>0</v>
      </c>
      <c r="AR109" s="101">
        <f t="shared" si="80"/>
        <v>0</v>
      </c>
      <c r="AS109" s="101">
        <f t="shared" si="80"/>
        <v>0</v>
      </c>
      <c r="AT109" s="101">
        <f t="shared" si="80"/>
        <v>0</v>
      </c>
      <c r="AU109" s="101">
        <f t="shared" si="80"/>
        <v>0</v>
      </c>
      <c r="AV109" s="101">
        <f t="shared" si="80"/>
        <v>0</v>
      </c>
      <c r="AW109" s="101">
        <f t="shared" si="80"/>
        <v>0</v>
      </c>
      <c r="AX109" s="101">
        <f t="shared" si="80"/>
        <v>0</v>
      </c>
      <c r="AY109" s="101">
        <f t="shared" si="80"/>
        <v>0</v>
      </c>
      <c r="AZ109" s="101">
        <f t="shared" si="80"/>
        <v>0</v>
      </c>
      <c r="BA109" s="101">
        <f t="shared" si="80"/>
        <v>0</v>
      </c>
      <c r="BB109" s="101">
        <f t="shared" si="80"/>
        <v>0</v>
      </c>
      <c r="BC109" s="101">
        <f t="shared" si="80"/>
        <v>0</v>
      </c>
      <c r="BD109" s="101">
        <f t="shared" si="80"/>
        <v>7080000</v>
      </c>
      <c r="BE109" s="101">
        <f t="shared" si="80"/>
        <v>6280000</v>
      </c>
      <c r="BF109" s="101">
        <f t="shared" si="80"/>
        <v>13360000</v>
      </c>
    </row>
    <row r="110" spans="1:58" x14ac:dyDescent="0.25">
      <c r="A110" s="171" t="s">
        <v>179</v>
      </c>
      <c r="B110" s="119">
        <v>680000</v>
      </c>
      <c r="C110" s="119">
        <v>6280000</v>
      </c>
      <c r="D110" s="106">
        <f t="shared" si="43"/>
        <v>6960000</v>
      </c>
      <c r="F110" s="107"/>
      <c r="G110" s="107">
        <v>2787500</v>
      </c>
      <c r="H110" s="107"/>
      <c r="I110" s="107">
        <f>312500*2.23</f>
        <v>696875</v>
      </c>
      <c r="J110" s="107"/>
      <c r="K110" s="107">
        <f>312500*2.23</f>
        <v>696875</v>
      </c>
      <c r="L110" s="107"/>
      <c r="M110" s="107">
        <f>312500*2.23</f>
        <v>696875</v>
      </c>
      <c r="N110" s="119">
        <v>680000</v>
      </c>
      <c r="O110" s="108">
        <v>5558125</v>
      </c>
      <c r="P110" s="109"/>
      <c r="Q110" s="107">
        <f>312500*2.23+25000</f>
        <v>721875</v>
      </c>
      <c r="R110" s="109"/>
      <c r="S110" s="107">
        <v>0</v>
      </c>
      <c r="T110" s="109"/>
      <c r="U110" s="107">
        <v>0</v>
      </c>
      <c r="V110" s="109"/>
      <c r="W110" s="107">
        <v>0</v>
      </c>
      <c r="X110" s="108">
        <f>+V110+T110+R110+P110</f>
        <v>0</v>
      </c>
      <c r="Y110" s="108">
        <f>+W110+U110+S110+Q110</f>
        <v>721875</v>
      </c>
      <c r="Z110" s="109"/>
      <c r="AA110" s="107"/>
      <c r="AB110" s="109"/>
      <c r="AC110" s="109"/>
      <c r="AD110" s="109"/>
      <c r="AE110" s="109"/>
      <c r="AF110" s="109"/>
      <c r="AG110" s="109"/>
      <c r="AH110" s="108">
        <f>+AF110+AD110+AB110+Z110</f>
        <v>0</v>
      </c>
      <c r="AI110" s="108">
        <f>+AG110+AE110+AC110+AA110</f>
        <v>0</v>
      </c>
      <c r="AJ110" s="109"/>
      <c r="AK110" s="109"/>
      <c r="AL110" s="109"/>
      <c r="AM110" s="109"/>
      <c r="AN110" s="109"/>
      <c r="AO110" s="109"/>
      <c r="AP110" s="109"/>
      <c r="AQ110" s="109"/>
      <c r="AR110" s="108">
        <f>+AP110+AN110+AL110+AJ110</f>
        <v>0</v>
      </c>
      <c r="AS110" s="108">
        <f>+AQ110+AO110+AM110+AK110</f>
        <v>0</v>
      </c>
      <c r="AT110" s="109"/>
      <c r="AU110" s="109"/>
      <c r="AV110" s="109"/>
      <c r="AW110" s="109"/>
      <c r="AX110" s="109"/>
      <c r="AY110" s="109"/>
      <c r="AZ110" s="109"/>
      <c r="BA110" s="109"/>
      <c r="BB110" s="108">
        <f>+AZ110+AX110+AV110+AT110</f>
        <v>0</v>
      </c>
      <c r="BC110" s="108">
        <f>+BA110+AY110+AW110+AU110</f>
        <v>0</v>
      </c>
      <c r="BD110" s="108">
        <f>+BB110+AR110+AH110+X110+N110</f>
        <v>680000</v>
      </c>
      <c r="BE110" s="108">
        <f>+BC110+AS110+AI110+Y110+O110</f>
        <v>6280000</v>
      </c>
      <c r="BF110" s="108">
        <f>+BE110+BD110</f>
        <v>6960000</v>
      </c>
    </row>
    <row r="111" spans="1:58" x14ac:dyDescent="0.25">
      <c r="A111" s="171" t="s">
        <v>180</v>
      </c>
      <c r="B111" s="119">
        <v>6400000</v>
      </c>
      <c r="C111" s="119">
        <v>0</v>
      </c>
      <c r="D111" s="106">
        <f t="shared" si="43"/>
        <v>6400000</v>
      </c>
      <c r="F111" s="107"/>
      <c r="G111" s="107"/>
      <c r="H111" s="107"/>
      <c r="I111" s="107"/>
      <c r="J111" s="107">
        <v>1000000</v>
      </c>
      <c r="K111" s="107"/>
      <c r="L111" s="107">
        <v>1000000</v>
      </c>
      <c r="M111" s="107"/>
      <c r="N111" s="108">
        <f>+L111+J111+H111+F111</f>
        <v>2000000</v>
      </c>
      <c r="O111" s="108">
        <f>+M111+K111+I111+G111</f>
        <v>0</v>
      </c>
      <c r="P111" s="109">
        <v>1000000</v>
      </c>
      <c r="Q111" s="107"/>
      <c r="R111" s="109">
        <v>1000000</v>
      </c>
      <c r="S111" s="107"/>
      <c r="T111" s="109">
        <v>1000000</v>
      </c>
      <c r="U111" s="107"/>
      <c r="V111" s="109">
        <v>1400000</v>
      </c>
      <c r="W111" s="107"/>
      <c r="X111" s="108">
        <f>+V111+T111+R111+P111</f>
        <v>4400000</v>
      </c>
      <c r="Y111" s="108">
        <f>+W111+U111+S111+Q111</f>
        <v>0</v>
      </c>
      <c r="Z111" s="109"/>
      <c r="AA111" s="107"/>
      <c r="AB111" s="109"/>
      <c r="AC111" s="109"/>
      <c r="AD111" s="109"/>
      <c r="AE111" s="109"/>
      <c r="AF111" s="109"/>
      <c r="AG111" s="109"/>
      <c r="AH111" s="108">
        <f>+AF111+AD111+AB111+Z111</f>
        <v>0</v>
      </c>
      <c r="AI111" s="108">
        <f>+AG111+AE111+AC111+AA111</f>
        <v>0</v>
      </c>
      <c r="AJ111" s="109"/>
      <c r="AK111" s="109"/>
      <c r="AL111" s="109"/>
      <c r="AM111" s="109"/>
      <c r="AN111" s="109"/>
      <c r="AO111" s="109"/>
      <c r="AP111" s="109"/>
      <c r="AQ111" s="109"/>
      <c r="AR111" s="108">
        <f>+AP111+AN111+AL111+AJ111</f>
        <v>0</v>
      </c>
      <c r="AS111" s="108">
        <f>+AQ111+AO111+AM111+AK111</f>
        <v>0</v>
      </c>
      <c r="AT111" s="109"/>
      <c r="AU111" s="109"/>
      <c r="AV111" s="109"/>
      <c r="AW111" s="109"/>
      <c r="AX111" s="109"/>
      <c r="AY111" s="109"/>
      <c r="AZ111" s="109"/>
      <c r="BA111" s="109"/>
      <c r="BB111" s="108">
        <f>+AZ111+AX111+AV111+AT111</f>
        <v>0</v>
      </c>
      <c r="BC111" s="108">
        <f>+BA111+AY111+AW111+AU111</f>
        <v>0</v>
      </c>
      <c r="BD111" s="108">
        <f>+BB111+AR111+AH111+X111+N111</f>
        <v>6400000</v>
      </c>
      <c r="BE111" s="108">
        <f>+BC111+AS111+AI111+Y111+O111</f>
        <v>0</v>
      </c>
      <c r="BF111" s="108">
        <f>+BE111+BD111</f>
        <v>6400000</v>
      </c>
    </row>
    <row r="112" spans="1:58" x14ac:dyDescent="0.25">
      <c r="A112" s="176" t="s">
        <v>181</v>
      </c>
      <c r="B112" s="177">
        <f>B4+B65+B78+B93+B109</f>
        <v>255680000.18000001</v>
      </c>
      <c r="C112" s="177">
        <f>C4+C65+C78+C93+C109</f>
        <v>255679999.69800001</v>
      </c>
      <c r="D112" s="177">
        <f t="shared" si="43"/>
        <v>511359999.87800002</v>
      </c>
      <c r="F112" s="177">
        <f t="shared" ref="F112:BC112" si="81">F4+F65+F78+F93+F109</f>
        <v>0</v>
      </c>
      <c r="G112" s="177">
        <f t="shared" si="81"/>
        <v>27939830.100000001</v>
      </c>
      <c r="H112" s="177">
        <f t="shared" si="81"/>
        <v>0</v>
      </c>
      <c r="I112" s="177">
        <f t="shared" si="81"/>
        <v>1614674.9849999999</v>
      </c>
      <c r="J112" s="177">
        <f t="shared" si="81"/>
        <v>12373462</v>
      </c>
      <c r="K112" s="177">
        <f t="shared" si="81"/>
        <v>696875</v>
      </c>
      <c r="L112" s="177">
        <f t="shared" si="81"/>
        <v>24298367.48</v>
      </c>
      <c r="M112" s="177">
        <f t="shared" si="81"/>
        <v>7017517.5700000003</v>
      </c>
      <c r="N112" s="177">
        <f t="shared" si="81"/>
        <v>73561735.480000004</v>
      </c>
      <c r="O112" s="177">
        <f t="shared" si="81"/>
        <v>105549936.278</v>
      </c>
      <c r="P112" s="177">
        <f t="shared" si="81"/>
        <v>20034671</v>
      </c>
      <c r="Q112" s="177">
        <f t="shared" si="81"/>
        <v>721875</v>
      </c>
      <c r="R112" s="177">
        <f t="shared" si="81"/>
        <v>23225802.083333332</v>
      </c>
      <c r="S112" s="177">
        <f t="shared" si="81"/>
        <v>0</v>
      </c>
      <c r="T112" s="177">
        <f t="shared" si="81"/>
        <v>29191740.730533332</v>
      </c>
      <c r="U112" s="177">
        <f t="shared" si="81"/>
        <v>0</v>
      </c>
      <c r="V112" s="177">
        <f t="shared" si="81"/>
        <v>37829609.926133335</v>
      </c>
      <c r="W112" s="177">
        <f t="shared" si="81"/>
        <v>6320642.5700000003</v>
      </c>
      <c r="X112" s="177">
        <f t="shared" si="81"/>
        <v>110281823.74000001</v>
      </c>
      <c r="Y112" s="177">
        <f t="shared" si="81"/>
        <v>51798758.57</v>
      </c>
      <c r="Z112" s="177">
        <f t="shared" si="81"/>
        <v>22737846</v>
      </c>
      <c r="AA112" s="177">
        <f t="shared" si="81"/>
        <v>0</v>
      </c>
      <c r="AB112" s="177">
        <f t="shared" si="81"/>
        <v>22069702.359999999</v>
      </c>
      <c r="AC112" s="177">
        <f t="shared" si="81"/>
        <v>0</v>
      </c>
      <c r="AD112" s="177">
        <f t="shared" si="81"/>
        <v>5203710</v>
      </c>
      <c r="AE112" s="177">
        <f t="shared" si="81"/>
        <v>0</v>
      </c>
      <c r="AF112" s="177">
        <f t="shared" si="81"/>
        <v>4722464.47</v>
      </c>
      <c r="AG112" s="177">
        <f t="shared" si="81"/>
        <v>6320642.5700000003</v>
      </c>
      <c r="AH112" s="177">
        <f t="shared" si="81"/>
        <v>54733722.829999998</v>
      </c>
      <c r="AI112" s="177">
        <f t="shared" si="81"/>
        <v>98331304.849999994</v>
      </c>
      <c r="AJ112" s="177">
        <f t="shared" si="81"/>
        <v>3626930</v>
      </c>
      <c r="AK112" s="177">
        <f t="shared" si="81"/>
        <v>0</v>
      </c>
      <c r="AL112" s="177">
        <f t="shared" si="81"/>
        <v>3733939</v>
      </c>
      <c r="AM112" s="177">
        <f t="shared" si="81"/>
        <v>0</v>
      </c>
      <c r="AN112" s="177">
        <f t="shared" si="81"/>
        <v>1912500</v>
      </c>
      <c r="AO112" s="177">
        <f t="shared" si="81"/>
        <v>0</v>
      </c>
      <c r="AP112" s="177">
        <f t="shared" si="81"/>
        <v>2162500</v>
      </c>
      <c r="AQ112" s="177">
        <f t="shared" si="81"/>
        <v>0</v>
      </c>
      <c r="AR112" s="177">
        <f t="shared" si="81"/>
        <v>11435869</v>
      </c>
      <c r="AS112" s="177">
        <f t="shared" si="81"/>
        <v>0</v>
      </c>
      <c r="AT112" s="177">
        <f t="shared" si="81"/>
        <v>1912500</v>
      </c>
      <c r="AU112" s="177">
        <f t="shared" si="81"/>
        <v>0</v>
      </c>
      <c r="AV112" s="177">
        <f t="shared" si="81"/>
        <v>1376850</v>
      </c>
      <c r="AW112" s="177">
        <f t="shared" si="81"/>
        <v>0</v>
      </c>
      <c r="AX112" s="177">
        <f t="shared" si="81"/>
        <v>1133750</v>
      </c>
      <c r="AY112" s="177">
        <f t="shared" si="81"/>
        <v>0</v>
      </c>
      <c r="AZ112" s="177">
        <f t="shared" si="81"/>
        <v>1243750</v>
      </c>
      <c r="BA112" s="177">
        <f t="shared" si="81"/>
        <v>0</v>
      </c>
      <c r="BB112" s="177">
        <f t="shared" si="81"/>
        <v>5666849</v>
      </c>
      <c r="BC112" s="177">
        <f t="shared" si="81"/>
        <v>0</v>
      </c>
      <c r="BD112" s="177">
        <f>BD4+BD65+BD78+BD93+BD109</f>
        <v>255680000.05000001</v>
      </c>
      <c r="BE112" s="177">
        <f>BE4+BE65+BE78+BE93+BE109</f>
        <v>255679999.69800001</v>
      </c>
      <c r="BF112" s="177">
        <f>BF4+BF65+BF78+BF93+BF109</f>
        <v>511359999.74799997</v>
      </c>
    </row>
    <row r="113" spans="1:58" x14ac:dyDescent="0.25">
      <c r="A113" s="178" t="s">
        <v>182</v>
      </c>
      <c r="B113" s="179">
        <v>255680000</v>
      </c>
      <c r="C113" s="179">
        <v>255680000</v>
      </c>
      <c r="D113" s="180">
        <f t="shared" si="43"/>
        <v>511360000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28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2"/>
      <c r="AZ113" s="182"/>
      <c r="BA113" s="182"/>
      <c r="BB113" s="182"/>
      <c r="BC113" s="182"/>
      <c r="BD113" s="182"/>
      <c r="BE113" s="182"/>
      <c r="BF113" s="182"/>
    </row>
    <row r="114" spans="1:58" x14ac:dyDescent="0.25">
      <c r="A114" s="178" t="s">
        <v>183</v>
      </c>
      <c r="B114" s="180">
        <f>B113-B112</f>
        <v>-0.18000000715255737</v>
      </c>
      <c r="C114" s="180">
        <f>C113-C112</f>
        <v>0.30199998617172241</v>
      </c>
      <c r="D114" s="180">
        <f t="shared" si="43"/>
        <v>0.12199997901916504</v>
      </c>
      <c r="F114" s="181">
        <v>0</v>
      </c>
      <c r="G114" s="181">
        <v>0</v>
      </c>
      <c r="H114" s="181">
        <v>0</v>
      </c>
      <c r="I114" s="181">
        <v>0</v>
      </c>
      <c r="J114" s="181">
        <v>0</v>
      </c>
      <c r="K114" s="181">
        <v>0</v>
      </c>
      <c r="L114" s="181">
        <v>0</v>
      </c>
      <c r="M114" s="181">
        <v>0</v>
      </c>
      <c r="N114" s="181">
        <v>0</v>
      </c>
      <c r="O114" s="128">
        <v>0</v>
      </c>
      <c r="P114" s="182">
        <v>0</v>
      </c>
      <c r="Q114" s="182">
        <v>0</v>
      </c>
      <c r="R114" s="182">
        <v>0</v>
      </c>
      <c r="S114" s="182">
        <v>0</v>
      </c>
      <c r="T114" s="182">
        <v>0</v>
      </c>
      <c r="U114" s="182">
        <v>0</v>
      </c>
      <c r="V114" s="182">
        <v>0</v>
      </c>
      <c r="W114" s="182">
        <v>0</v>
      </c>
      <c r="X114" s="182">
        <v>0</v>
      </c>
      <c r="Y114" s="182">
        <v>0</v>
      </c>
      <c r="Z114" s="182">
        <v>0</v>
      </c>
      <c r="AA114" s="182">
        <v>0</v>
      </c>
      <c r="AB114" s="182">
        <v>0</v>
      </c>
      <c r="AC114" s="182">
        <v>0</v>
      </c>
      <c r="AD114" s="182">
        <v>0</v>
      </c>
      <c r="AE114" s="182">
        <v>0</v>
      </c>
      <c r="AF114" s="182">
        <v>0</v>
      </c>
      <c r="AG114" s="182">
        <v>0</v>
      </c>
      <c r="AH114" s="182">
        <v>0</v>
      </c>
      <c r="AI114" s="182">
        <v>0</v>
      </c>
      <c r="AJ114" s="182">
        <v>0</v>
      </c>
      <c r="AK114" s="182">
        <v>0</v>
      </c>
      <c r="AL114" s="182">
        <v>0</v>
      </c>
      <c r="AM114" s="182">
        <v>0</v>
      </c>
      <c r="AN114" s="182">
        <v>0</v>
      </c>
      <c r="AO114" s="182">
        <v>0</v>
      </c>
      <c r="AP114" s="182">
        <v>0</v>
      </c>
      <c r="AQ114" s="182">
        <v>0</v>
      </c>
      <c r="AR114" s="182">
        <v>0</v>
      </c>
      <c r="AS114" s="182">
        <v>0</v>
      </c>
      <c r="AT114" s="182">
        <v>0</v>
      </c>
      <c r="AU114" s="182">
        <v>0</v>
      </c>
      <c r="AV114" s="182">
        <v>0</v>
      </c>
      <c r="AW114" s="182">
        <v>0</v>
      </c>
      <c r="AX114" s="182">
        <v>0</v>
      </c>
      <c r="AY114" s="182">
        <v>0</v>
      </c>
      <c r="AZ114" s="182">
        <v>0</v>
      </c>
      <c r="BA114" s="182">
        <v>0</v>
      </c>
      <c r="BB114" s="182">
        <v>0</v>
      </c>
      <c r="BC114" s="182">
        <v>0</v>
      </c>
      <c r="BD114" s="182"/>
      <c r="BE114" s="182"/>
      <c r="BF114" s="182"/>
    </row>
    <row r="115" spans="1:58" x14ac:dyDescent="0.25">
      <c r="F115" s="183"/>
      <c r="G115" s="183"/>
      <c r="H115" s="184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</row>
    <row r="116" spans="1:58" x14ac:dyDescent="0.25">
      <c r="C116" s="185"/>
      <c r="F116" s="184"/>
      <c r="G116" s="183"/>
      <c r="H116" s="184"/>
      <c r="I116" s="183"/>
      <c r="J116" s="184"/>
      <c r="K116" s="183"/>
      <c r="L116" s="184"/>
      <c r="M116" s="184"/>
      <c r="N116" s="184"/>
      <c r="O116" s="184"/>
      <c r="P116" s="184"/>
      <c r="Q116" s="183"/>
      <c r="R116" s="184"/>
      <c r="S116" s="183"/>
      <c r="T116" s="184"/>
      <c r="U116" s="183"/>
      <c r="V116" s="184"/>
      <c r="W116" s="184"/>
      <c r="X116" s="184"/>
      <c r="Y116" s="183"/>
      <c r="Z116" s="184"/>
      <c r="AA116" s="183"/>
      <c r="AB116" s="184"/>
      <c r="AC116" s="183"/>
      <c r="AD116" s="184"/>
      <c r="AE116" s="183"/>
      <c r="AF116" s="184"/>
      <c r="AG116" s="184"/>
      <c r="AH116" s="184"/>
      <c r="AI116" s="184"/>
      <c r="AJ116" s="184"/>
      <c r="AK116" s="183"/>
      <c r="AL116" s="184"/>
      <c r="AM116" s="183"/>
      <c r="AN116" s="184"/>
      <c r="AO116" s="183"/>
      <c r="AP116" s="184"/>
      <c r="AQ116" s="184"/>
      <c r="AR116" s="184"/>
      <c r="AS116" s="183"/>
      <c r="AT116" s="184"/>
      <c r="AU116" s="183"/>
      <c r="AV116" s="184"/>
      <c r="AW116" s="183"/>
      <c r="AX116" s="184"/>
      <c r="AY116" s="183"/>
      <c r="AZ116" s="184"/>
      <c r="BA116" s="184"/>
      <c r="BB116" s="184"/>
      <c r="BC116" s="184"/>
      <c r="BD116" s="184"/>
      <c r="BE116" s="184"/>
      <c r="BF116" s="184"/>
    </row>
    <row r="117" spans="1:58" x14ac:dyDescent="0.25">
      <c r="F117" s="186" t="s">
        <v>184</v>
      </c>
      <c r="G117" s="184"/>
      <c r="H117" s="183"/>
      <c r="I117" s="184"/>
      <c r="J117" s="183"/>
      <c r="K117" s="184"/>
      <c r="L117" s="183"/>
      <c r="M117" s="184"/>
      <c r="N117" s="183"/>
      <c r="O117" s="184"/>
      <c r="P117" s="183"/>
      <c r="Q117" s="184"/>
      <c r="R117" s="183"/>
      <c r="S117" s="184"/>
      <c r="T117" s="183"/>
      <c r="U117" s="184"/>
      <c r="V117" s="183"/>
      <c r="W117" s="184"/>
      <c r="X117" s="183"/>
      <c r="Y117" s="184"/>
      <c r="Z117" s="183"/>
      <c r="AA117" s="184"/>
      <c r="AB117" s="183"/>
      <c r="AC117" s="184"/>
      <c r="AD117" s="183"/>
      <c r="AE117" s="184"/>
      <c r="AF117" s="183"/>
      <c r="AG117" s="184"/>
      <c r="AH117" s="183"/>
      <c r="AI117" s="184"/>
      <c r="AJ117" s="183"/>
      <c r="AK117" s="184"/>
      <c r="AL117" s="183"/>
      <c r="AM117" s="184"/>
      <c r="AN117" s="183"/>
      <c r="AO117" s="184"/>
      <c r="AP117" s="183"/>
      <c r="AQ117" s="184"/>
      <c r="AR117" s="183"/>
      <c r="AS117" s="184"/>
      <c r="AT117" s="183"/>
      <c r="AU117" s="184"/>
      <c r="AV117" s="183"/>
      <c r="AW117" s="184"/>
      <c r="AX117" s="183"/>
      <c r="AY117" s="184"/>
      <c r="AZ117" s="183"/>
      <c r="BA117" s="184"/>
      <c r="BB117" s="183"/>
      <c r="BC117" s="184"/>
      <c r="BD117" s="183"/>
      <c r="BE117" s="184"/>
      <c r="BF117" s="183"/>
    </row>
    <row r="118" spans="1:58" x14ac:dyDescent="0.25">
      <c r="A118" s="187"/>
      <c r="B118" s="188">
        <v>0</v>
      </c>
      <c r="C118" s="188">
        <v>0</v>
      </c>
      <c r="D118" s="189"/>
      <c r="F118" s="190"/>
      <c r="G118" s="302" t="s">
        <v>185</v>
      </c>
      <c r="H118" s="302"/>
      <c r="I118" s="302" t="s">
        <v>186</v>
      </c>
      <c r="J118" s="302"/>
      <c r="K118" s="302" t="s">
        <v>187</v>
      </c>
      <c r="L118" s="302"/>
      <c r="M118" s="302" t="s">
        <v>188</v>
      </c>
      <c r="N118" s="302"/>
      <c r="O118" s="302" t="s">
        <v>189</v>
      </c>
      <c r="P118" s="302"/>
      <c r="Q118" s="302" t="s">
        <v>9</v>
      </c>
      <c r="R118" s="302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/>
      <c r="BB118" s="183"/>
      <c r="BC118" s="183"/>
      <c r="BD118" s="191"/>
      <c r="BE118" s="191"/>
      <c r="BF118" s="183"/>
    </row>
    <row r="119" spans="1:58" x14ac:dyDescent="0.25">
      <c r="F119" s="192" t="s">
        <v>190</v>
      </c>
      <c r="G119" s="192" t="s">
        <v>15</v>
      </c>
      <c r="H119" s="192" t="s">
        <v>191</v>
      </c>
      <c r="I119" s="192" t="s">
        <v>15</v>
      </c>
      <c r="J119" s="192" t="s">
        <v>191</v>
      </c>
      <c r="K119" s="192" t="s">
        <v>15</v>
      </c>
      <c r="L119" s="192" t="s">
        <v>191</v>
      </c>
      <c r="M119" s="192" t="s">
        <v>15</v>
      </c>
      <c r="N119" s="192" t="s">
        <v>191</v>
      </c>
      <c r="O119" s="192" t="s">
        <v>15</v>
      </c>
      <c r="P119" s="192" t="s">
        <v>191</v>
      </c>
      <c r="Q119" s="192" t="s">
        <v>15</v>
      </c>
      <c r="R119" s="192" t="s">
        <v>191</v>
      </c>
      <c r="S119" s="183"/>
      <c r="T119" s="183"/>
      <c r="U119" s="184"/>
      <c r="V119" s="184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4"/>
      <c r="BE119" s="184"/>
      <c r="BF119" s="183"/>
    </row>
    <row r="120" spans="1:58" x14ac:dyDescent="0.25">
      <c r="F120" s="193" t="s">
        <v>192</v>
      </c>
      <c r="G120" s="194">
        <f>+N112</f>
        <v>73561735.480000004</v>
      </c>
      <c r="H120" s="194">
        <f>+O112</f>
        <v>105549936.278</v>
      </c>
      <c r="I120" s="194">
        <f>+X112</f>
        <v>110281823.74000001</v>
      </c>
      <c r="J120" s="194">
        <f>+Y112</f>
        <v>51798758.57</v>
      </c>
      <c r="K120" s="194">
        <f>+AH112</f>
        <v>54733722.829999998</v>
      </c>
      <c r="L120" s="194">
        <f>+AI112</f>
        <v>98331304.849999994</v>
      </c>
      <c r="M120" s="194">
        <f>+AR112</f>
        <v>11435869</v>
      </c>
      <c r="N120" s="194">
        <f>+AS112</f>
        <v>0</v>
      </c>
      <c r="O120" s="194">
        <f>+BB112</f>
        <v>5666849</v>
      </c>
      <c r="P120" s="194">
        <f>+BC112</f>
        <v>0</v>
      </c>
      <c r="Q120" s="194">
        <f>+G120+I120+K120+M120+O120+1</f>
        <v>255680001.05000001</v>
      </c>
      <c r="R120" s="194">
        <f>+H120+J120+L120+N120+P120</f>
        <v>255679999.69799998</v>
      </c>
      <c r="S120" s="184"/>
      <c r="T120" s="183"/>
      <c r="U120" s="184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</row>
    <row r="121" spans="1:58" x14ac:dyDescent="0.25">
      <c r="F121" s="193" t="s">
        <v>10</v>
      </c>
      <c r="G121" s="195">
        <f>+G120/$Q$120</f>
        <v>0.2877101657458711</v>
      </c>
      <c r="H121" s="195">
        <f>+H120/$R$120</f>
        <v>0.41282046465375383</v>
      </c>
      <c r="I121" s="195">
        <f>+I120/$Q$120</f>
        <v>0.43132753162979542</v>
      </c>
      <c r="J121" s="195">
        <f>+J120/$R$120</f>
        <v>0.20259214107940718</v>
      </c>
      <c r="K121" s="195">
        <f>+K120/$Q$120</f>
        <v>0.21407119291780838</v>
      </c>
      <c r="L121" s="195">
        <f>+L120/$R$120</f>
        <v>0.38458739426683897</v>
      </c>
      <c r="M121" s="195">
        <f>+M120/$Q$120</f>
        <v>4.4727272188033337E-2</v>
      </c>
      <c r="N121" s="195">
        <f>+N120/$R$120</f>
        <v>0</v>
      </c>
      <c r="O121" s="195">
        <f>+O120/$Q$120</f>
        <v>2.2163833607352842E-2</v>
      </c>
      <c r="P121" s="195">
        <f>+P120/$R$120</f>
        <v>0</v>
      </c>
      <c r="Q121" s="196">
        <f>+O121+M121+K121+I121+G121</f>
        <v>0.99999999608886103</v>
      </c>
      <c r="R121" s="196">
        <f>+P121+N121+L121+J121+H121</f>
        <v>1</v>
      </c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</row>
    <row r="122" spans="1:58" x14ac:dyDescent="0.25">
      <c r="F122" s="193" t="s">
        <v>193</v>
      </c>
      <c r="G122" s="197">
        <f>+G121</f>
        <v>0.2877101657458711</v>
      </c>
      <c r="H122" s="197">
        <f>+H121</f>
        <v>0.41282046465375383</v>
      </c>
      <c r="I122" s="197">
        <f t="shared" ref="I122:P122" si="82">+G122+I121</f>
        <v>0.71903769737566647</v>
      </c>
      <c r="J122" s="197">
        <f t="shared" si="82"/>
        <v>0.61541260573316103</v>
      </c>
      <c r="K122" s="197">
        <f t="shared" si="82"/>
        <v>0.93310889029347488</v>
      </c>
      <c r="L122" s="197">
        <f t="shared" si="82"/>
        <v>1</v>
      </c>
      <c r="M122" s="197">
        <f t="shared" si="82"/>
        <v>0.97783616248150818</v>
      </c>
      <c r="N122" s="197">
        <f t="shared" si="82"/>
        <v>1</v>
      </c>
      <c r="O122" s="197">
        <f t="shared" si="82"/>
        <v>0.99999999608886103</v>
      </c>
      <c r="P122" s="197">
        <f t="shared" si="82"/>
        <v>1</v>
      </c>
      <c r="Q122" s="140"/>
      <c r="R122" s="140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</row>
  </sheetData>
  <mergeCells count="40">
    <mergeCell ref="G118:H118"/>
    <mergeCell ref="I118:J118"/>
    <mergeCell ref="K118:L118"/>
    <mergeCell ref="M118:N118"/>
    <mergeCell ref="O118:P118"/>
    <mergeCell ref="Q118:R118"/>
    <mergeCell ref="AR2:AS2"/>
    <mergeCell ref="AT2:AU2"/>
    <mergeCell ref="AV2:AW2"/>
    <mergeCell ref="AX2:AY2"/>
    <mergeCell ref="T2:U2"/>
    <mergeCell ref="V2:W2"/>
    <mergeCell ref="X2:Y2"/>
    <mergeCell ref="Z2:AA2"/>
    <mergeCell ref="AB2:AC2"/>
    <mergeCell ref="AD2:AE2"/>
    <mergeCell ref="AZ2:BA2"/>
    <mergeCell ref="BB2:BC2"/>
    <mergeCell ref="AF2:AG2"/>
    <mergeCell ref="AH2:AI2"/>
    <mergeCell ref="AJ2:AK2"/>
    <mergeCell ref="AL2:AM2"/>
    <mergeCell ref="AN2:AO2"/>
    <mergeCell ref="AP2:AQ2"/>
    <mergeCell ref="BD1:BF1"/>
    <mergeCell ref="A2:A3"/>
    <mergeCell ref="B2:D2"/>
    <mergeCell ref="F2:G2"/>
    <mergeCell ref="H2:I2"/>
    <mergeCell ref="J2:K2"/>
    <mergeCell ref="L2:M2"/>
    <mergeCell ref="N2:O2"/>
    <mergeCell ref="P2:Q2"/>
    <mergeCell ref="R2:S2"/>
    <mergeCell ref="B1:D1"/>
    <mergeCell ref="F1:O1"/>
    <mergeCell ref="P1:Y1"/>
    <mergeCell ref="Z1:AI1"/>
    <mergeCell ref="AJ1:AS1"/>
    <mergeCell ref="AT1:BC1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showGridLines="0" workbookViewId="0">
      <selection activeCell="C3" sqref="C3"/>
    </sheetView>
  </sheetViews>
  <sheetFormatPr defaultRowHeight="15" x14ac:dyDescent="0.25"/>
  <cols>
    <col min="1" max="1" width="28.140625" bestFit="1" customWidth="1"/>
    <col min="2" max="4" width="10.5703125" bestFit="1" customWidth="1"/>
    <col min="5" max="5" width="9.85546875" bestFit="1" customWidth="1"/>
    <col min="6" max="7" width="11.140625" customWidth="1"/>
    <col min="8" max="8" width="11.7109375" bestFit="1" customWidth="1"/>
  </cols>
  <sheetData>
    <row r="1" spans="1:8" x14ac:dyDescent="0.25">
      <c r="A1" s="20" t="s">
        <v>52</v>
      </c>
      <c r="B1" s="19" t="s">
        <v>61</v>
      </c>
      <c r="C1" s="19">
        <v>2018</v>
      </c>
      <c r="D1" s="19">
        <v>2019</v>
      </c>
      <c r="E1" s="19">
        <v>2020</v>
      </c>
      <c r="F1" s="19">
        <v>2021</v>
      </c>
      <c r="G1" s="19" t="s">
        <v>62</v>
      </c>
      <c r="H1" s="19" t="s">
        <v>47</v>
      </c>
    </row>
    <row r="2" spans="1:8" x14ac:dyDescent="0.25">
      <c r="A2" s="31" t="s">
        <v>48</v>
      </c>
      <c r="B2" s="13">
        <f>PEP!W118</f>
        <v>0</v>
      </c>
      <c r="C2" s="13">
        <f>PEP!Y118+PEP!AA118</f>
        <v>0</v>
      </c>
      <c r="D2" s="13">
        <f>PEP!AC118</f>
        <v>0</v>
      </c>
      <c r="E2" s="13">
        <f>PEP!AE118</f>
        <v>0</v>
      </c>
      <c r="F2" s="13" t="e">
        <f>PEP!#REF!</f>
        <v>#REF!</v>
      </c>
      <c r="G2" s="82" t="e">
        <f>PEP!#REF!</f>
        <v>#REF!</v>
      </c>
      <c r="H2" s="57" t="e">
        <f>SUM(B2:G2)</f>
        <v>#REF!</v>
      </c>
    </row>
    <row r="3" spans="1:8" x14ac:dyDescent="0.25">
      <c r="A3" s="55" t="s">
        <v>49</v>
      </c>
      <c r="B3" s="58" t="e">
        <f>B2/$H$2</f>
        <v>#REF!</v>
      </c>
      <c r="C3" s="58" t="e">
        <f t="shared" ref="C3:H3" si="0">C2/$H$2</f>
        <v>#REF!</v>
      </c>
      <c r="D3" s="58" t="e">
        <f t="shared" si="0"/>
        <v>#REF!</v>
      </c>
      <c r="E3" s="58" t="e">
        <f t="shared" si="0"/>
        <v>#REF!</v>
      </c>
      <c r="F3" s="58" t="e">
        <f t="shared" si="0"/>
        <v>#REF!</v>
      </c>
      <c r="G3" s="83" t="e">
        <f>G2/H2</f>
        <v>#REF!</v>
      </c>
      <c r="H3" s="61" t="e">
        <f t="shared" si="0"/>
        <v>#REF!</v>
      </c>
    </row>
    <row r="4" spans="1:8" x14ac:dyDescent="0.25">
      <c r="A4" s="28" t="s">
        <v>50</v>
      </c>
      <c r="B4" s="18">
        <f>SUM(PEP!V118,PEP!X118)</f>
        <v>0</v>
      </c>
      <c r="C4" s="18">
        <f>SUM(PEP!Z118,PEP!AB118)</f>
        <v>0</v>
      </c>
      <c r="D4" s="18">
        <f>PEP!AD118</f>
        <v>0</v>
      </c>
      <c r="E4" s="18">
        <f>PEP!AF118</f>
        <v>0</v>
      </c>
      <c r="F4" s="18" t="e">
        <f>PEP!#REF!</f>
        <v>#REF!</v>
      </c>
      <c r="G4" s="80" t="e">
        <f>PEP!#REF!</f>
        <v>#REF!</v>
      </c>
      <c r="H4" s="34" t="e">
        <f>SUM(B4:G4)</f>
        <v>#REF!</v>
      </c>
    </row>
    <row r="5" spans="1:8" x14ac:dyDescent="0.25">
      <c r="A5" s="56" t="s">
        <v>51</v>
      </c>
      <c r="B5" s="59" t="e">
        <f>B4/$H$4</f>
        <v>#REF!</v>
      </c>
      <c r="C5" s="59" t="e">
        <f t="shared" ref="C5:H5" si="1">C4/$H$4</f>
        <v>#REF!</v>
      </c>
      <c r="D5" s="59" t="e">
        <f t="shared" si="1"/>
        <v>#REF!</v>
      </c>
      <c r="E5" s="59" t="e">
        <f t="shared" si="1"/>
        <v>#REF!</v>
      </c>
      <c r="F5" s="59" t="e">
        <f t="shared" si="1"/>
        <v>#REF!</v>
      </c>
      <c r="G5" s="84" t="e">
        <f>G4/H4</f>
        <v>#REF!</v>
      </c>
      <c r="H5" s="60" t="e">
        <f t="shared" si="1"/>
        <v>#REF!</v>
      </c>
    </row>
    <row r="7" spans="1:8" x14ac:dyDescent="0.25">
      <c r="A7" t="s">
        <v>63</v>
      </c>
      <c r="B7" s="90">
        <f t="shared" ref="B7:H7" si="2">B2+B4</f>
        <v>0</v>
      </c>
      <c r="C7" s="90">
        <f t="shared" si="2"/>
        <v>0</v>
      </c>
      <c r="D7" s="90">
        <f t="shared" si="2"/>
        <v>0</v>
      </c>
      <c r="E7" s="90">
        <f t="shared" si="2"/>
        <v>0</v>
      </c>
      <c r="F7" s="90" t="e">
        <f t="shared" si="2"/>
        <v>#REF!</v>
      </c>
      <c r="G7" s="90" t="e">
        <f t="shared" si="2"/>
        <v>#REF!</v>
      </c>
      <c r="H7" s="90" t="e">
        <f t="shared" si="2"/>
        <v>#REF!</v>
      </c>
    </row>
    <row r="8" spans="1:8" x14ac:dyDescent="0.25">
      <c r="B8" s="91" t="e">
        <f>B7/H7</f>
        <v>#REF!</v>
      </c>
      <c r="C8" s="91" t="e">
        <f>C7/H7</f>
        <v>#REF!</v>
      </c>
      <c r="D8" s="91" t="e">
        <f>D7/H7</f>
        <v>#REF!</v>
      </c>
      <c r="E8" s="91" t="e">
        <f>E7/H7</f>
        <v>#REF!</v>
      </c>
      <c r="F8" s="91" t="e">
        <f>F7/H7</f>
        <v>#REF!</v>
      </c>
      <c r="G8" s="91" t="e">
        <f>G7/H7</f>
        <v>#REF!</v>
      </c>
      <c r="H8" s="91" t="e">
        <f>B8+C8+D8+E8+F8+G8</f>
        <v>#REF!</v>
      </c>
    </row>
  </sheetData>
  <conditionalFormatting sqref="B2:H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{FCFB14FE-297F-4EB7-B7E0-62C2EC101CB1}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FB14FE-297F-4EB7-B7E0-62C2EC101C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B2:H5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D906AAD5B14946BAA08364F05BEC77" ma:contentTypeVersion="13" ma:contentTypeDescription="Crie um novo documento." ma:contentTypeScope="" ma:versionID="bb72b266ade9cb2b2fd59d2428fd8add">
  <xsd:schema xmlns:xsd="http://www.w3.org/2001/XMLSchema" xmlns:xs="http://www.w3.org/2001/XMLSchema" xmlns:p="http://schemas.microsoft.com/office/2006/metadata/properties" xmlns:ns2="6427dde7-06d5-401f-a70a-9d11485c01dd" xmlns:ns3="b26843b3-214b-46b7-8c39-95df78e0245e" targetNamespace="http://schemas.microsoft.com/office/2006/metadata/properties" ma:root="true" ma:fieldsID="230df67c6c5c2f5d9bd146bfba8b3b18" ns2:_="" ns3:_="">
    <xsd:import namespace="6427dde7-06d5-401f-a70a-9d11485c01dd"/>
    <xsd:import namespace="b26843b3-214b-46b7-8c39-95df78e02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7dde7-06d5-401f-a70a-9d11485c0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843b3-214b-46b7-8c39-95df78e024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7C8964-9351-4A34-88AE-68BF3A3D0C42}"/>
</file>

<file path=customXml/itemProps2.xml><?xml version="1.0" encoding="utf-8"?>
<ds:datastoreItem xmlns:ds="http://schemas.openxmlformats.org/officeDocument/2006/customXml" ds:itemID="{4FFE69C4-AD29-40FD-8C74-95DC73F3CF9C}"/>
</file>

<file path=customXml/itemProps3.xml><?xml version="1.0" encoding="utf-8"?>
<ds:datastoreItem xmlns:ds="http://schemas.openxmlformats.org/officeDocument/2006/customXml" ds:itemID="{1D502AB8-AE67-4516-ABAE-281636A68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POA</vt:lpstr>
      <vt:lpstr>PEP</vt:lpstr>
      <vt:lpstr>POA Real Fechada</vt:lpstr>
      <vt:lpstr>Simulação Real Aberta</vt:lpstr>
      <vt:lpstr>Desembolsos</vt:lpstr>
      <vt:lpstr>PEP!Area_de_impressao</vt:lpstr>
    </vt:vector>
  </TitlesOfParts>
  <Company>Inter-American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IADB</dc:creator>
  <cp:lastModifiedBy>Eugenio Pacelli Miranda</cp:lastModifiedBy>
  <cp:lastPrinted>2019-11-19T12:45:07Z</cp:lastPrinted>
  <dcterms:created xsi:type="dcterms:W3CDTF">2015-07-20T14:22:37Z</dcterms:created>
  <dcterms:modified xsi:type="dcterms:W3CDTF">2021-03-11T06:59:16Z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0x01010015D906AAD5B14946BAA08364F05BEC77</vt:lpwstr>
  </property>
</Properties>
</file>